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04" sheetId="1" r:id="rId1"/>
    <sheet name="05" sheetId="2" r:id="rId2"/>
  </sheets>
  <externalReferences>
    <externalReference r:id="rId5"/>
    <externalReference r:id="rId6"/>
  </externalReferences>
  <definedNames>
    <definedName name="_xlnm.Print_Area" localSheetId="0">'04'!$A$1:$U$53</definedName>
    <definedName name="_xlnm.Print_Area" localSheetId="1">'05'!$A$1:$U$53</definedName>
  </definedNames>
  <calcPr fullCalcOnLoad="1"/>
</workbook>
</file>

<file path=xl/sharedStrings.xml><?xml version="1.0" encoding="utf-8"?>
<sst xmlns="http://schemas.openxmlformats.org/spreadsheetml/2006/main" count="189" uniqueCount="98">
  <si>
    <t xml:space="preserve">Biểu số: 04/TK-THA
Ban hành theo TT số: 06/2019/TT-BTP
ngày 21 tháng 11 năm 2019
Ngày nhận báo cáo: </t>
  </si>
  <si>
    <t>Đơn vị tính: Bản án, quyết định, việc và %</t>
  </si>
  <si>
    <t>STT</t>
  </si>
  <si>
    <t>Tên chỉ tiêu</t>
  </si>
  <si>
    <t>Tổng số  bản án, quyết định đã nhận</t>
  </si>
  <si>
    <t>Tổng số giải quyết</t>
  </si>
  <si>
    <t>Chia ra:</t>
  </si>
  <si>
    <t>Ủy thác thi hành án</t>
  </si>
  <si>
    <t>Thu hồi, hủy quyết định THA</t>
  </si>
  <si>
    <t>Tổng số phải thi hành</t>
  </si>
  <si>
    <t xml:space="preserve">Số chuyển kỳ sau </t>
  </si>
  <si>
    <t>Tỷ lệ thi hành xong trong số có điều kiện</t>
  </si>
  <si>
    <t>Năm trước chuyển sang (trừ số đã chuyển sổ theo dõi riêng)</t>
  </si>
  <si>
    <t>Thụ lý mới</t>
  </si>
  <si>
    <t>Tổng số có điều kiện thi hành</t>
  </si>
  <si>
    <t>Chưa có điều kiện (trừ số đã chuyển sổ theo dõi riêng)</t>
  </si>
  <si>
    <t>Hoãn thi hành án (trừ điểm c k1, Đ 48)</t>
  </si>
  <si>
    <t xml:space="preserve">Tạm đình chỉ thi hành án </t>
  </si>
  <si>
    <t>Tổng số thi hành xong</t>
  </si>
  <si>
    <t>Đang thi hành</t>
  </si>
  <si>
    <t>Hoãn theo điểm c k1, Đ 48</t>
  </si>
  <si>
    <t>Trường hợp khác</t>
  </si>
  <si>
    <t>Thi hành xong</t>
  </si>
  <si>
    <t xml:space="preserve">Đình chỉ 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</si>
  <si>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</si>
  <si>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</si>
  <si>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</si>
  <si>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</si>
  <si>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</si>
  <si>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</si>
  <si>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</si>
  <si>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</si>
  <si>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</si>
  <si>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</si>
  <si>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</si>
  <si>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</si>
  <si>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</si>
  <si>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</si>
  <si>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</si>
  <si>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</si>
  <si>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</si>
  <si>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</si>
  <si>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</si>
  <si>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</si>
  <si>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Tổng số</t>
  </si>
  <si>
    <t xml:space="preserve"> </t>
  </si>
  <si>
    <t>I</t>
  </si>
  <si>
    <t>CỤC THI HÀNH ÁN DS</t>
  </si>
  <si>
    <t>Chu Văn Quý</t>
  </si>
  <si>
    <t>Ngô Thị Hồng Nhung</t>
  </si>
  <si>
    <t>Vũ Ngọc Phương</t>
  </si>
  <si>
    <t>Vũ Quang Hiệp</t>
  </si>
  <si>
    <t>Đỗ Thị Hoàn</t>
  </si>
  <si>
    <t>II</t>
  </si>
  <si>
    <t>CÁC CHI CỤC THADS</t>
  </si>
  <si>
    <t>Chi cục Thi hành án dân sự Huyện Lý Nhân</t>
  </si>
  <si>
    <t>Trần Khánh Dư</t>
  </si>
  <si>
    <t>Bùi Trọng Tiến</t>
  </si>
  <si>
    <t>Đỗ Thị Thu Hằng</t>
  </si>
  <si>
    <t>Nguyễn Xuân Thắng</t>
  </si>
  <si>
    <t>Chi cục Thi hành án dân sự Huyện Bình Lục</t>
  </si>
  <si>
    <t>Nguyễn Lập Thuấn</t>
  </si>
  <si>
    <t>Tạ Đình Quang</t>
  </si>
  <si>
    <t>Lữ Thị Minh Châu</t>
  </si>
  <si>
    <t>Lê Quốc Huy</t>
  </si>
  <si>
    <t>Chi cục Thi hành án dân sự Huyện Duy Tiên</t>
  </si>
  <si>
    <t>Trần Văn Hoàng</t>
  </si>
  <si>
    <t>Nguyễn Thị Hoài</t>
  </si>
  <si>
    <t>Hoàng Long</t>
  </si>
  <si>
    <t>Đỗ Hoàng Hải</t>
  </si>
  <si>
    <t>Chi cục Thi hành án dân sự Huyện Kim Bảng</t>
  </si>
  <si>
    <t>Vũ Văn Duyến</t>
  </si>
  <si>
    <t>Nguyễn Minh Trường</t>
  </si>
  <si>
    <t>Phan Thị Ngọc Lan</t>
  </si>
  <si>
    <t>Nguyễn Minh Tuấn</t>
  </si>
  <si>
    <t>Ngô Đình Quyết</t>
  </si>
  <si>
    <t>Chi cục Thi hành án dân sự Huyện Thanh Liêm</t>
  </si>
  <si>
    <t>Vũ Thi Ninh</t>
  </si>
  <si>
    <t>Nguyễn Trung Chính</t>
  </si>
  <si>
    <t>Vũ Văn Khánh</t>
  </si>
  <si>
    <t>Nguyễn Quốc Thuận</t>
  </si>
  <si>
    <t>Chi cục Thi hành án dân sự Thành phố Phủ Lý</t>
  </si>
  <si>
    <t>Phạm Thị Thu Hà</t>
  </si>
  <si>
    <t>Đỗ Thị Hạnh</t>
  </si>
  <si>
    <t>Đồng Hữu Trung</t>
  </si>
  <si>
    <t>Nguyễn Thị Hồng Vân</t>
  </si>
  <si>
    <t>Trương Văn Tuấn</t>
  </si>
  <si>
    <t>NGƯỜI LẬP BIỂU</t>
  </si>
  <si>
    <t>HOÀNG VĂN TUỆ</t>
  </si>
  <si>
    <t xml:space="preserve">Biểu số: 05/TK-THA
Ban hành theo TT số: 06/2019/TT-BTP
ngày 21 tháng 11 năm 2019
Ngày nhận báo cáo: </t>
  </si>
  <si>
    <t>Đơn vị tính: 1.000 VNĐ và %</t>
  </si>
  <si>
    <t>Thu hồi, sửa, hủy quyết định THA</t>
  </si>
  <si>
    <t>Giảm nghĩa vụ thi hành án</t>
  </si>
  <si>
    <t>Tổng số</t>
  </si>
  <si>
    <t>KẾT QUẢ THI HÀNH ÁN DÂN SỰ TÍNH BẰNG VIỆC CHIA THEO CƠ QUAN THI HÀNH ÁN DÂN SỰ VÀ CHẤP HÀNH VIÊN
4 tháng năm 2021</t>
  </si>
  <si>
    <t>Hà Nam, Ngày 02 tháng 02 năm 2021</t>
  </si>
  <si>
    <t>KẾT QUẢ THI HÀNH ÁN DÂN SỰ TÍNH BẰNG TIỀN CHIA THEO CƠ QUAN THI HÀNH ÁN DÂN SỰ VÀ CHẤP HÀNH VIÊN
4 tháng/năm 2021</t>
  </si>
  <si>
    <t>Hà Nam , Ngày 02 tháng 02 năm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</si>
</sst>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#,##0;[Red]#,##0"/>
  </numFmts>
  <fonts count="57">
    <font>
      <sz val="12"/>
      <name val="Times New Roman"/>
      <family val="1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49" fontId="0" fillId="0" borderId="0" xfId="0" applyNumberFormat="1" applyFill="1" applyAlignment="1">
      <alignment horizontal="left" vertical="top" wrapText="1"/>
    </xf>
    <xf numFmtId="49" fontId="1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wrapText="1"/>
    </xf>
    <xf numFmtId="49" fontId="19" fillId="0" borderId="0" xfId="0" applyNumberFormat="1" applyFont="1" applyFill="1" applyAlignment="1">
      <alignment/>
    </xf>
    <xf numFmtId="49" fontId="0" fillId="5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64" fontId="0" fillId="0" borderId="0" xfId="42" applyNumberFormat="1" applyFont="1" applyFill="1" applyAlignment="1">
      <alignment horizontal="center"/>
    </xf>
    <xf numFmtId="49" fontId="21" fillId="0" borderId="10" xfId="0" applyNumberFormat="1" applyFont="1" applyFill="1" applyBorder="1" applyAlignment="1">
      <alignment horizontal="right"/>
    </xf>
    <xf numFmtId="49" fontId="22" fillId="0" borderId="11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164" fontId="22" fillId="0" borderId="11" xfId="42" applyNumberFormat="1" applyFont="1" applyFill="1" applyBorder="1" applyAlignment="1">
      <alignment horizontal="center" vertical="center" wrapText="1"/>
    </xf>
    <xf numFmtId="0" fontId="0" fillId="33" borderId="0" xfId="58" applyNumberFormat="1" applyFont="1" applyFill="1" applyAlignment="1">
      <alignment horizontal="center" vertical="center"/>
    </xf>
    <xf numFmtId="0" fontId="23" fillId="33" borderId="12" xfId="0" applyNumberFormat="1" applyFont="1" applyFill="1" applyBorder="1" applyAlignment="1">
      <alignment horizontal="center" vertical="center" wrapText="1"/>
    </xf>
    <xf numFmtId="0" fontId="23" fillId="33" borderId="13" xfId="0" applyNumberFormat="1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42" applyNumberFormat="1" applyFont="1" applyFill="1" applyBorder="1" applyAlignment="1" applyProtection="1">
      <alignment horizontal="center" vertical="center" wrapText="1"/>
      <protection/>
    </xf>
    <xf numFmtId="164" fontId="23" fillId="0" borderId="11" xfId="42" applyNumberFormat="1" applyFont="1" applyFill="1" applyBorder="1" applyAlignment="1" applyProtection="1">
      <alignment horizontal="center" vertical="center"/>
      <protection locked="0"/>
    </xf>
    <xf numFmtId="164" fontId="23" fillId="0" borderId="11" xfId="42" applyNumberFormat="1" applyFont="1" applyFill="1" applyBorder="1" applyAlignment="1" applyProtection="1">
      <alignment horizontal="center" vertical="center"/>
      <protection/>
    </xf>
    <xf numFmtId="14" fontId="27" fillId="0" borderId="14" xfId="42" applyNumberFormat="1" applyFont="1" applyFill="1" applyBorder="1" applyAlignment="1" applyProtection="1">
      <alignment horizontal="center" wrapText="1"/>
      <protection/>
    </xf>
    <xf numFmtId="43" fontId="27" fillId="0" borderId="14" xfId="42" applyFont="1" applyFill="1" applyBorder="1" applyAlignment="1" applyProtection="1">
      <alignment horizontal="center" wrapText="1"/>
      <protection/>
    </xf>
    <xf numFmtId="49" fontId="27" fillId="0" borderId="14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/>
      <protection/>
    </xf>
    <xf numFmtId="14" fontId="27" fillId="0" borderId="14" xfId="42" applyNumberFormat="1" applyFont="1" applyFill="1" applyBorder="1" applyAlignment="1" applyProtection="1">
      <alignment horizontal="center" vertical="center" wrapText="1"/>
      <protection/>
    </xf>
    <xf numFmtId="43" fontId="27" fillId="0" borderId="14" xfId="42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Border="1" applyAlignment="1" applyProtection="1">
      <alignment horizontal="center" wrapText="1"/>
      <protection/>
    </xf>
    <xf numFmtId="49" fontId="27" fillId="0" borderId="0" xfId="0" applyNumberFormat="1" applyFont="1" applyFill="1" applyBorder="1" applyAlignment="1" applyProtection="1">
      <alignment horizontal="center" wrapText="1"/>
      <protection/>
    </xf>
    <xf numFmtId="49" fontId="27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164" fontId="0" fillId="0" borderId="0" xfId="42" applyNumberFormat="1" applyFont="1" applyFill="1" applyAlignment="1" applyProtection="1">
      <alignment horizontal="center"/>
      <protection/>
    </xf>
    <xf numFmtId="0" fontId="18" fillId="0" borderId="0" xfId="0" applyFont="1" applyAlignment="1" applyProtection="1">
      <alignment horizontal="center" wrapText="1"/>
      <protection/>
    </xf>
    <xf numFmtId="49" fontId="27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164" fontId="0" fillId="0" borderId="0" xfId="42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164" fontId="18" fillId="0" borderId="0" xfId="42" applyNumberFormat="1" applyFont="1" applyFill="1" applyAlignment="1" applyProtection="1">
      <alignment horizontal="center" wrapText="1"/>
      <protection/>
    </xf>
    <xf numFmtId="49" fontId="29" fillId="0" borderId="0" xfId="0" applyNumberFormat="1" applyFont="1" applyFill="1" applyAlignment="1" applyProtection="1">
      <alignment wrapText="1"/>
      <protection/>
    </xf>
    <xf numFmtId="164" fontId="29" fillId="0" borderId="0" xfId="42" applyNumberFormat="1" applyFont="1" applyFill="1" applyAlignment="1" applyProtection="1">
      <alignment wrapText="1"/>
      <protection/>
    </xf>
    <xf numFmtId="43" fontId="18" fillId="0" borderId="0" xfId="42" applyFont="1" applyFill="1" applyAlignment="1" applyProtection="1">
      <alignment horizontal="center" wrapText="1"/>
      <protection/>
    </xf>
    <xf numFmtId="164" fontId="29" fillId="0" borderId="0" xfId="42" applyNumberFormat="1" applyFont="1" applyFill="1" applyAlignment="1" applyProtection="1">
      <alignment horizontal="center" wrapText="1"/>
      <protection/>
    </xf>
    <xf numFmtId="49" fontId="29" fillId="0" borderId="0" xfId="0" applyNumberFormat="1" applyFont="1" applyFill="1" applyAlignment="1" applyProtection="1">
      <alignment horizontal="center" wrapText="1"/>
      <protection/>
    </xf>
    <xf numFmtId="49" fontId="0" fillId="33" borderId="0" xfId="0" applyNumberFormat="1" applyFont="1" applyFill="1" applyAlignment="1">
      <alignment wrapText="1"/>
    </xf>
    <xf numFmtId="164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 horizontal="center"/>
    </xf>
    <xf numFmtId="49" fontId="0" fillId="5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 vertical="top" wrapText="1"/>
    </xf>
    <xf numFmtId="49" fontId="27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164" fontId="0" fillId="0" borderId="0" xfId="0" applyNumberFormat="1" applyFont="1" applyFill="1" applyAlignment="1">
      <alignment/>
    </xf>
    <xf numFmtId="49" fontId="20" fillId="33" borderId="0" xfId="0" applyNumberFormat="1" applyFont="1" applyFill="1" applyAlignment="1">
      <alignment/>
    </xf>
    <xf numFmtId="1" fontId="30" fillId="33" borderId="0" xfId="0" applyNumberFormat="1" applyFont="1" applyFill="1" applyAlignment="1">
      <alignment horizontal="center"/>
    </xf>
    <xf numFmtId="1" fontId="20" fillId="33" borderId="0" xfId="0" applyNumberFormat="1" applyFont="1" applyFill="1" applyAlignment="1">
      <alignment/>
    </xf>
    <xf numFmtId="49" fontId="20" fillId="33" borderId="0" xfId="0" applyNumberFormat="1" applyFont="1" applyFill="1" applyAlignment="1">
      <alignment horizontal="center"/>
    </xf>
    <xf numFmtId="0" fontId="23" fillId="33" borderId="15" xfId="0" applyNumberFormat="1" applyFont="1" applyFill="1" applyBorder="1" applyAlignment="1">
      <alignment horizontal="center" vertical="center" wrapText="1"/>
    </xf>
    <xf numFmtId="49" fontId="31" fillId="34" borderId="11" xfId="0" applyNumberFormat="1" applyFont="1" applyFill="1" applyBorder="1" applyAlignment="1" applyProtection="1">
      <alignment horizontal="center" vertical="center" wrapText="1"/>
      <protection/>
    </xf>
    <xf numFmtId="49" fontId="23" fillId="34" borderId="11" xfId="0" applyNumberFormat="1" applyFont="1" applyFill="1" applyBorder="1" applyAlignment="1" applyProtection="1">
      <alignment horizontal="center" vertical="center" wrapText="1"/>
      <protection/>
    </xf>
    <xf numFmtId="49" fontId="23" fillId="33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 applyProtection="1">
      <alignment horizontal="center" vertical="center" wrapText="1"/>
      <protection/>
    </xf>
    <xf numFmtId="49" fontId="23" fillId="33" borderId="16" xfId="0" applyNumberFormat="1" applyFont="1" applyFill="1" applyBorder="1" applyAlignment="1" applyProtection="1">
      <alignment horizontal="center" vertical="center" wrapText="1"/>
      <protection/>
    </xf>
    <xf numFmtId="1" fontId="23" fillId="33" borderId="15" xfId="0" applyNumberFormat="1" applyFont="1" applyFill="1" applyBorder="1" applyAlignment="1">
      <alignment horizontal="center" vertical="center" wrapText="1"/>
    </xf>
    <xf numFmtId="49" fontId="23" fillId="33" borderId="15" xfId="0" applyNumberFormat="1" applyFont="1" applyFill="1" applyBorder="1" applyAlignment="1" applyProtection="1">
      <alignment horizontal="center" vertical="center" wrapText="1"/>
      <protection/>
    </xf>
    <xf numFmtId="164" fontId="0" fillId="33" borderId="0" xfId="42" applyNumberFormat="1" applyFont="1" applyFill="1" applyAlignment="1">
      <alignment horizontal="center" vertical="center"/>
    </xf>
    <xf numFmtId="0" fontId="23" fillId="33" borderId="17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1" fontId="23" fillId="33" borderId="17" xfId="0" applyNumberFormat="1" applyFont="1" applyFill="1" applyBorder="1" applyAlignment="1">
      <alignment horizontal="center" vertical="center" wrapText="1"/>
    </xf>
    <xf numFmtId="49" fontId="23" fillId="33" borderId="17" xfId="0" applyNumberFormat="1" applyFont="1" applyFill="1" applyBorder="1" applyAlignment="1" applyProtection="1">
      <alignment horizontal="center" vertical="center" wrapText="1"/>
      <protection/>
    </xf>
    <xf numFmtId="164" fontId="0" fillId="33" borderId="0" xfId="42" applyNumberFormat="1" applyFont="1" applyFill="1" applyBorder="1" applyAlignment="1">
      <alignment horizontal="center" vertical="center"/>
    </xf>
    <xf numFmtId="0" fontId="23" fillId="33" borderId="18" xfId="0" applyNumberFormat="1" applyFont="1" applyFill="1" applyBorder="1" applyAlignment="1">
      <alignment horizontal="center" vertical="center" wrapText="1"/>
    </xf>
    <xf numFmtId="49" fontId="23" fillId="34" borderId="11" xfId="0" applyNumberFormat="1" applyFont="1" applyFill="1" applyBorder="1" applyAlignment="1" applyProtection="1">
      <alignment horizontal="center" vertical="center" wrapText="1"/>
      <protection/>
    </xf>
    <xf numFmtId="1" fontId="23" fillId="33" borderId="18" xfId="0" applyNumberFormat="1" applyFont="1" applyFill="1" applyBorder="1" applyAlignment="1">
      <alignment horizontal="center" vertical="center" wrapText="1"/>
    </xf>
    <xf numFmtId="164" fontId="52" fillId="0" borderId="11" xfId="42" applyNumberFormat="1" applyFont="1" applyFill="1" applyBorder="1" applyAlignment="1">
      <alignment vertical="center" wrapText="1"/>
    </xf>
    <xf numFmtId="49" fontId="53" fillId="0" borderId="0" xfId="0" applyNumberFormat="1" applyFont="1" applyFill="1" applyAlignment="1" applyProtection="1">
      <alignment/>
      <protection/>
    </xf>
    <xf numFmtId="165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 wrapText="1"/>
    </xf>
    <xf numFmtId="164" fontId="26" fillId="0" borderId="11" xfId="42" applyNumberFormat="1" applyFont="1" applyFill="1" applyBorder="1" applyAlignment="1" applyProtection="1">
      <alignment horizontal="center" vertical="center" wrapText="1"/>
      <protection/>
    </xf>
    <xf numFmtId="10" fontId="26" fillId="0" borderId="11" xfId="58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164" fontId="22" fillId="0" borderId="11" xfId="42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>
      <alignment/>
    </xf>
    <xf numFmtId="164" fontId="20" fillId="0" borderId="10" xfId="42" applyNumberFormat="1" applyFont="1" applyFill="1" applyBorder="1" applyAlignment="1">
      <alignment/>
    </xf>
    <xf numFmtId="164" fontId="20" fillId="0" borderId="0" xfId="42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 applyProtection="1">
      <alignment horizontal="center" vertical="center" wrapText="1"/>
      <protection/>
    </xf>
    <xf numFmtId="49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2" fillId="0" borderId="16" xfId="0" applyNumberFormat="1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 wrapText="1"/>
    </xf>
    <xf numFmtId="1" fontId="22" fillId="0" borderId="17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22" fillId="0" borderId="11" xfId="42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>
      <alignment horizontal="center" vertical="center" wrapText="1"/>
    </xf>
    <xf numFmtId="164" fontId="22" fillId="0" borderId="11" xfId="42" applyNumberFormat="1" applyFont="1" applyFill="1" applyBorder="1" applyAlignment="1" applyProtection="1">
      <alignment horizontal="center" vertical="center" wrapText="1"/>
      <protection/>
    </xf>
    <xf numFmtId="1" fontId="22" fillId="0" borderId="18" xfId="0" applyNumberFormat="1" applyFont="1" applyFill="1" applyBorder="1" applyAlignment="1">
      <alignment horizontal="center" vertical="center" wrapText="1"/>
    </xf>
    <xf numFmtId="0" fontId="0" fillId="0" borderId="0" xfId="58" applyNumberFormat="1" applyFont="1" applyFill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1" fontId="54" fillId="0" borderId="11" xfId="0" applyNumberFormat="1" applyFont="1" applyFill="1" applyBorder="1" applyAlignment="1">
      <alignment vertical="center" wrapText="1"/>
    </xf>
    <xf numFmtId="10" fontId="23" fillId="0" borderId="11" xfId="58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164" fontId="54" fillId="0" borderId="11" xfId="42" applyNumberFormat="1" applyFont="1" applyFill="1" applyBorder="1" applyAlignment="1">
      <alignment vertical="center" wrapText="1"/>
    </xf>
    <xf numFmtId="164" fontId="55" fillId="0" borderId="11" xfId="42" applyNumberFormat="1" applyFont="1" applyFill="1" applyBorder="1" applyAlignment="1">
      <alignment vertical="center" wrapText="1"/>
    </xf>
    <xf numFmtId="165" fontId="55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center" wrapText="1"/>
    </xf>
    <xf numFmtId="164" fontId="23" fillId="0" borderId="18" xfId="42" applyNumberFormat="1" applyFont="1" applyFill="1" applyBorder="1" applyAlignment="1" applyProtection="1">
      <alignment vertical="center" wrapText="1"/>
      <protection locked="0"/>
    </xf>
    <xf numFmtId="10" fontId="22" fillId="0" borderId="11" xfId="58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Alignment="1" applyProtection="1">
      <alignment/>
      <protection locked="0"/>
    </xf>
    <xf numFmtId="164" fontId="19" fillId="0" borderId="0" xfId="0" applyNumberFormat="1" applyFont="1" applyFill="1" applyAlignment="1" applyProtection="1">
      <alignment/>
      <protection locked="0"/>
    </xf>
    <xf numFmtId="49" fontId="19" fillId="0" borderId="0" xfId="0" applyNumberFormat="1" applyFont="1" applyFill="1" applyAlignment="1" applyProtection="1">
      <alignment/>
      <protection locked="0"/>
    </xf>
    <xf numFmtId="1" fontId="54" fillId="0" borderId="11" xfId="0" applyNumberFormat="1" applyFont="1" applyFill="1" applyBorder="1" applyAlignment="1">
      <alignment horizontal="center" vertical="center" wrapText="1"/>
    </xf>
    <xf numFmtId="164" fontId="23" fillId="0" borderId="11" xfId="42" applyNumberFormat="1" applyFont="1" applyFill="1" applyBorder="1" applyAlignment="1" applyProtection="1">
      <alignment horizontal="center"/>
      <protection locked="0"/>
    </xf>
    <xf numFmtId="164" fontId="26" fillId="0" borderId="11" xfId="42" applyNumberFormat="1" applyFont="1" applyFill="1" applyBorder="1" applyAlignment="1" applyProtection="1">
      <alignment horizontal="center" vertical="center"/>
      <protection locked="0"/>
    </xf>
    <xf numFmtId="164" fontId="26" fillId="0" borderId="11" xfId="42" applyNumberFormat="1" applyFont="1" applyFill="1" applyBorder="1" applyAlignment="1" applyProtection="1">
      <alignment horizontal="center"/>
      <protection locked="0"/>
    </xf>
    <xf numFmtId="164" fontId="23" fillId="0" borderId="11" xfId="44" applyNumberFormat="1" applyFont="1" applyFill="1" applyBorder="1" applyAlignment="1" applyProtection="1">
      <alignment horizontal="center" vertical="center"/>
      <protection locked="0"/>
    </xf>
    <xf numFmtId="164" fontId="23" fillId="0" borderId="11" xfId="44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18" fillId="0" borderId="0" xfId="0" applyFont="1" applyFill="1" applyAlignment="1" applyProtection="1">
      <alignment horizontal="center" wrapText="1"/>
      <protection/>
    </xf>
    <xf numFmtId="49" fontId="0" fillId="0" borderId="0" xfId="0" applyNumberFormat="1" applyFont="1" applyFill="1" applyAlignment="1">
      <alignment wrapText="1"/>
    </xf>
    <xf numFmtId="164" fontId="0" fillId="0" borderId="0" xfId="42" applyNumberFormat="1" applyFont="1" applyFill="1" applyAlignment="1">
      <alignment/>
    </xf>
    <xf numFmtId="164" fontId="22" fillId="0" borderId="11" xfId="42" applyNumberFormat="1" applyFont="1" applyFill="1" applyBorder="1" applyAlignment="1" applyProtection="1">
      <alignment horizontal="center" vertical="center"/>
      <protection locked="0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center" wrapText="1"/>
    </xf>
    <xf numFmtId="164" fontId="56" fillId="0" borderId="11" xfId="42" applyNumberFormat="1" applyFont="1" applyFill="1" applyBorder="1" applyAlignment="1">
      <alignment vertical="center" wrapText="1"/>
    </xf>
    <xf numFmtId="1" fontId="56" fillId="0" borderId="11" xfId="0" applyNumberFormat="1" applyFont="1" applyFill="1" applyBorder="1" applyAlignment="1">
      <alignment horizontal="center" vertical="center" wrapText="1"/>
    </xf>
    <xf numFmtId="164" fontId="34" fillId="0" borderId="11" xfId="42" applyNumberFormat="1" applyFont="1" applyFill="1" applyBorder="1" applyAlignment="1" applyProtection="1">
      <alignment horizontal="center" vertical="center" wrapText="1"/>
      <protection/>
    </xf>
    <xf numFmtId="10" fontId="34" fillId="0" borderId="11" xfId="58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42" applyNumberFormat="1" applyFont="1" applyFill="1" applyBorder="1" applyAlignment="1" applyProtection="1">
      <alignment vertical="center" wrapText="1"/>
      <protection locked="0"/>
    </xf>
    <xf numFmtId="164" fontId="26" fillId="0" borderId="18" xfId="44" applyNumberFormat="1" applyFont="1" applyFill="1" applyBorder="1" applyAlignment="1" applyProtection="1">
      <alignment vertical="center" wrapText="1"/>
      <protection locked="0"/>
    </xf>
    <xf numFmtId="164" fontId="26" fillId="0" borderId="11" xfId="44" applyNumberFormat="1" applyFont="1" applyFill="1" applyBorder="1" applyAlignment="1" applyProtection="1">
      <alignment horizontal="center" vertical="center" wrapText="1"/>
      <protection/>
    </xf>
    <xf numFmtId="164" fontId="26" fillId="0" borderId="18" xfId="44" applyNumberFormat="1" applyFont="1" applyFill="1" applyBorder="1" applyAlignment="1" applyProtection="1">
      <alignment horizontal="center" vertical="center" wrapText="1"/>
      <protection/>
    </xf>
    <xf numFmtId="164" fontId="26" fillId="0" borderId="0" xfId="42" applyNumberFormat="1" applyFont="1" applyFill="1" applyAlignment="1" applyProtection="1">
      <alignment/>
      <protection locked="0"/>
    </xf>
    <xf numFmtId="164" fontId="26" fillId="0" borderId="0" xfId="0" applyNumberFormat="1" applyFont="1" applyFill="1" applyAlignment="1" applyProtection="1">
      <alignment/>
      <protection locked="0"/>
    </xf>
    <xf numFmtId="49" fontId="26" fillId="0" borderId="0" xfId="0" applyNumberFormat="1" applyFont="1" applyFill="1" applyAlignment="1" applyProtection="1">
      <alignment/>
      <protection locked="0"/>
    </xf>
    <xf numFmtId="3" fontId="52" fillId="0" borderId="11" xfId="0" applyNumberFormat="1" applyFont="1" applyFill="1" applyBorder="1" applyAlignment="1" applyProtection="1">
      <alignment vertical="center" wrapText="1"/>
      <protection locked="0"/>
    </xf>
    <xf numFmtId="0" fontId="34" fillId="0" borderId="12" xfId="0" applyNumberFormat="1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center" vertical="center" wrapText="1"/>
    </xf>
    <xf numFmtId="164" fontId="34" fillId="0" borderId="0" xfId="42" applyNumberFormat="1" applyFont="1" applyFill="1" applyAlignment="1" applyProtection="1">
      <alignment/>
      <protection locked="0"/>
    </xf>
    <xf numFmtId="164" fontId="34" fillId="0" borderId="0" xfId="0" applyNumberFormat="1" applyFont="1" applyFill="1" applyAlignment="1" applyProtection="1">
      <alignment/>
      <protection locked="0"/>
    </xf>
    <xf numFmtId="49" fontId="34" fillId="0" borderId="0" xfId="0" applyNumberFormat="1" applyFont="1" applyFill="1" applyAlignment="1">
      <alignment/>
    </xf>
    <xf numFmtId="49" fontId="34" fillId="0" borderId="0" xfId="0" applyNumberFormat="1" applyFont="1" applyFill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7622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7622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7622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Bieu%20mau%20thong%20ke%2021.11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ng%20Hop%20VP%203%20thang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0">
        <row r="2">
          <cell r="C2" t="str">
            <v>Đơn vị  báo cáo: 
Đơn vị nhận báo cáo: </v>
          </cell>
        </row>
        <row r="5">
          <cell r="C5" t="str">
            <v>CỤC TRƯỞNG</v>
          </cell>
        </row>
        <row r="6">
          <cell r="C6" t="str">
            <v>TRẦN ĐỨC TOẢN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 Nhung"/>
      <sheetName val="01 Phuong"/>
      <sheetName val="01 Hiep"/>
      <sheetName val="01 quy"/>
      <sheetName val="01 hoan"/>
      <sheetName val="02 Nhung"/>
      <sheetName val="02 (bỏ)"/>
      <sheetName val="02 Phuong"/>
      <sheetName val="02 HIep"/>
      <sheetName val="02 Quy"/>
      <sheetName val="02 hoan"/>
      <sheetName val="03 Nhung"/>
      <sheetName val="03 Phuong"/>
      <sheetName val="03 Hiep"/>
      <sheetName val="03 Quy"/>
      <sheetName val="03 hoan"/>
      <sheetName val="04 Nhung"/>
      <sheetName val="04 -phuong"/>
      <sheetName val="04 Hiep"/>
      <sheetName val="04 Quy"/>
      <sheetName val="04 hoan"/>
      <sheetName val="05 Nhung"/>
      <sheetName val="05 Phuong"/>
      <sheetName val="05 Hiep"/>
      <sheetName val="05 Quy"/>
      <sheetName val="05 hoan"/>
      <sheetName val="01"/>
      <sheetName val="PT01"/>
      <sheetName val="02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TT"/>
      <sheetName val="PLChuaDieuKien"/>
    </sheetNames>
    <sheetDataSet>
      <sheetData sheetId="18">
        <row r="11">
          <cell r="E11">
            <v>10</v>
          </cell>
        </row>
      </sheetData>
      <sheetData sheetId="19">
        <row r="11">
          <cell r="E11">
            <v>24</v>
          </cell>
        </row>
      </sheetData>
      <sheetData sheetId="20">
        <row r="10">
          <cell r="E10">
            <v>2</v>
          </cell>
        </row>
        <row r="11">
          <cell r="Q11">
            <v>2</v>
          </cell>
        </row>
      </sheetData>
      <sheetData sheetId="21">
        <row r="11">
          <cell r="D11">
            <v>6799248</v>
          </cell>
          <cell r="Q11">
            <v>5566530</v>
          </cell>
        </row>
      </sheetData>
      <sheetData sheetId="22">
        <row r="11">
          <cell r="D11">
            <v>1547842</v>
          </cell>
          <cell r="Q11">
            <v>1179593</v>
          </cell>
        </row>
      </sheetData>
      <sheetData sheetId="23">
        <row r="11">
          <cell r="D11">
            <v>631350048</v>
          </cell>
        </row>
      </sheetData>
      <sheetData sheetId="24">
        <row r="11">
          <cell r="D11">
            <v>5049798</v>
          </cell>
          <cell r="Q11">
            <v>598871</v>
          </cell>
        </row>
      </sheetData>
      <sheetData sheetId="25">
        <row r="11">
          <cell r="D11">
            <v>61345</v>
          </cell>
          <cell r="Q11">
            <v>61345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55"/>
  <sheetViews>
    <sheetView tabSelected="1" view="pageBreakPreview" zoomScaleSheetLayoutView="100" zoomScalePageLayoutView="0" workbookViewId="0" topLeftCell="A1">
      <selection activeCell="V1" sqref="V1:W16384"/>
    </sheetView>
  </sheetViews>
  <sheetFormatPr defaultColWidth="9.00390625" defaultRowHeight="15.75"/>
  <cols>
    <col min="1" max="1" width="4.125" style="5" customWidth="1"/>
    <col min="2" max="2" width="20.875" style="51" customWidth="1"/>
    <col min="3" max="3" width="6.625" style="5" customWidth="1"/>
    <col min="4" max="4" width="7.25390625" style="5" customWidth="1"/>
    <col min="5" max="5" width="8.375" style="9" customWidth="1"/>
    <col min="6" max="6" width="6.75390625" style="5" customWidth="1"/>
    <col min="7" max="7" width="6.50390625" style="5" customWidth="1"/>
    <col min="8" max="8" width="5.375" style="10" customWidth="1"/>
    <col min="9" max="9" width="8.375" style="5" customWidth="1"/>
    <col min="10" max="10" width="6.75390625" style="5" customWidth="1"/>
    <col min="11" max="11" width="6.625" style="5" customWidth="1"/>
    <col min="12" max="13" width="7.125" style="52" customWidth="1"/>
    <col min="14" max="14" width="7.375" style="53" customWidth="1"/>
    <col min="15" max="15" width="6.50390625" style="11" customWidth="1"/>
    <col min="16" max="16" width="5.625" style="53" customWidth="1"/>
    <col min="17" max="17" width="7.00390625" style="54" customWidth="1"/>
    <col min="18" max="18" width="7.00390625" style="55" customWidth="1"/>
    <col min="19" max="19" width="5.75390625" style="56" customWidth="1"/>
    <col min="20" max="20" width="7.25390625" style="56" customWidth="1"/>
    <col min="21" max="21" width="7.375" style="56" customWidth="1"/>
    <col min="22" max="23" width="0" style="4" hidden="1" customWidth="1"/>
    <col min="24" max="24" width="9.00390625" style="4" customWidth="1"/>
    <col min="25" max="16384" width="9.00390625" style="5" customWidth="1"/>
  </cols>
  <sheetData>
    <row r="1" spans="1:21" ht="65.25" customHeight="1">
      <c r="A1" s="1" t="s">
        <v>0</v>
      </c>
      <c r="B1" s="1"/>
      <c r="C1" s="1"/>
      <c r="D1" s="1"/>
      <c r="E1" s="2" t="s">
        <v>94</v>
      </c>
      <c r="F1" s="2"/>
      <c r="G1" s="2"/>
      <c r="H1" s="2"/>
      <c r="I1" s="2"/>
      <c r="J1" s="2"/>
      <c r="K1" s="2"/>
      <c r="L1" s="2"/>
      <c r="M1" s="2"/>
      <c r="N1" s="2"/>
      <c r="O1" s="2"/>
      <c r="P1" s="3" t="str">
        <f>'[1]TT'!C2</f>
        <v>Đơn vị  báo cáo: 
Đơn vị nhận báo cáo: </v>
      </c>
      <c r="Q1" s="3"/>
      <c r="R1" s="3"/>
      <c r="S1" s="3"/>
      <c r="T1" s="3"/>
      <c r="U1" s="3"/>
    </row>
    <row r="2" spans="1:24" s="10" customFormat="1" ht="17.25" customHeight="1">
      <c r="A2" s="6"/>
      <c r="B2" s="7"/>
      <c r="C2" s="8"/>
      <c r="D2" s="8"/>
      <c r="I2" s="92"/>
      <c r="J2" s="92"/>
      <c r="K2" s="92"/>
      <c r="L2" s="93"/>
      <c r="M2" s="94"/>
      <c r="N2" s="11"/>
      <c r="O2" s="11"/>
      <c r="P2" s="12" t="s">
        <v>1</v>
      </c>
      <c r="Q2" s="12"/>
      <c r="R2" s="12"/>
      <c r="S2" s="12"/>
      <c r="T2" s="12"/>
      <c r="U2" s="12"/>
      <c r="V2" s="95"/>
      <c r="W2" s="95"/>
      <c r="X2" s="95"/>
    </row>
    <row r="3" spans="1:24" s="104" customFormat="1" ht="15.75" customHeight="1">
      <c r="A3" s="96" t="s">
        <v>2</v>
      </c>
      <c r="B3" s="96" t="s">
        <v>3</v>
      </c>
      <c r="C3" s="97" t="s">
        <v>4</v>
      </c>
      <c r="D3" s="98" t="s">
        <v>5</v>
      </c>
      <c r="E3" s="98" t="s">
        <v>6</v>
      </c>
      <c r="F3" s="98"/>
      <c r="G3" s="13" t="s">
        <v>7</v>
      </c>
      <c r="H3" s="13" t="s">
        <v>8</v>
      </c>
      <c r="I3" s="13" t="s">
        <v>9</v>
      </c>
      <c r="J3" s="99" t="s">
        <v>6</v>
      </c>
      <c r="K3" s="100"/>
      <c r="L3" s="100"/>
      <c r="M3" s="100"/>
      <c r="N3" s="100"/>
      <c r="O3" s="100"/>
      <c r="P3" s="100"/>
      <c r="Q3" s="100"/>
      <c r="R3" s="100"/>
      <c r="S3" s="100"/>
      <c r="T3" s="101" t="s">
        <v>10</v>
      </c>
      <c r="U3" s="102" t="s">
        <v>11</v>
      </c>
      <c r="V3" s="103"/>
      <c r="W3" s="103"/>
      <c r="X3" s="103"/>
    </row>
    <row r="4" spans="1:24" s="109" customFormat="1" ht="15.75" customHeight="1">
      <c r="A4" s="105"/>
      <c r="B4" s="105"/>
      <c r="C4" s="97"/>
      <c r="D4" s="98"/>
      <c r="E4" s="98" t="s">
        <v>12</v>
      </c>
      <c r="F4" s="98" t="s">
        <v>13</v>
      </c>
      <c r="G4" s="13"/>
      <c r="H4" s="13"/>
      <c r="I4" s="13"/>
      <c r="J4" s="13" t="s">
        <v>14</v>
      </c>
      <c r="K4" s="98" t="s">
        <v>6</v>
      </c>
      <c r="L4" s="98"/>
      <c r="M4" s="98"/>
      <c r="N4" s="98"/>
      <c r="O4" s="98"/>
      <c r="P4" s="98"/>
      <c r="Q4" s="13" t="s">
        <v>15</v>
      </c>
      <c r="R4" s="13" t="s">
        <v>16</v>
      </c>
      <c r="S4" s="16" t="s">
        <v>17</v>
      </c>
      <c r="T4" s="106"/>
      <c r="U4" s="107"/>
      <c r="V4" s="108"/>
      <c r="W4" s="108"/>
      <c r="X4" s="108"/>
    </row>
    <row r="5" spans="1:24" s="104" customFormat="1" ht="15.75" customHeight="1">
      <c r="A5" s="105"/>
      <c r="B5" s="105"/>
      <c r="C5" s="97"/>
      <c r="D5" s="98"/>
      <c r="E5" s="98"/>
      <c r="F5" s="98"/>
      <c r="G5" s="13"/>
      <c r="H5" s="13"/>
      <c r="I5" s="13"/>
      <c r="J5" s="13"/>
      <c r="K5" s="13" t="s">
        <v>18</v>
      </c>
      <c r="L5" s="110" t="s">
        <v>6</v>
      </c>
      <c r="M5" s="110"/>
      <c r="N5" s="19" t="s">
        <v>19</v>
      </c>
      <c r="O5" s="19" t="s">
        <v>20</v>
      </c>
      <c r="P5" s="19" t="s">
        <v>21</v>
      </c>
      <c r="Q5" s="13"/>
      <c r="R5" s="13"/>
      <c r="S5" s="16"/>
      <c r="T5" s="106"/>
      <c r="U5" s="107"/>
      <c r="V5" s="103"/>
      <c r="W5" s="103"/>
      <c r="X5" s="103"/>
    </row>
    <row r="6" spans="1:24" s="104" customFormat="1" ht="15.75" customHeight="1">
      <c r="A6" s="105"/>
      <c r="B6" s="105"/>
      <c r="C6" s="97"/>
      <c r="D6" s="98"/>
      <c r="E6" s="98"/>
      <c r="F6" s="98"/>
      <c r="G6" s="13"/>
      <c r="H6" s="13"/>
      <c r="I6" s="13"/>
      <c r="J6" s="13"/>
      <c r="K6" s="13"/>
      <c r="L6" s="110"/>
      <c r="M6" s="110"/>
      <c r="N6" s="19"/>
      <c r="O6" s="19"/>
      <c r="P6" s="19"/>
      <c r="Q6" s="13"/>
      <c r="R6" s="13"/>
      <c r="S6" s="16"/>
      <c r="T6" s="106"/>
      <c r="U6" s="107"/>
      <c r="V6" s="103"/>
      <c r="W6" s="103"/>
      <c r="X6" s="103"/>
    </row>
    <row r="7" spans="1:24" s="104" customFormat="1" ht="44.25" customHeight="1">
      <c r="A7" s="111"/>
      <c r="B7" s="111"/>
      <c r="C7" s="97"/>
      <c r="D7" s="98"/>
      <c r="E7" s="98"/>
      <c r="F7" s="98"/>
      <c r="G7" s="13"/>
      <c r="H7" s="13"/>
      <c r="I7" s="13"/>
      <c r="J7" s="13"/>
      <c r="K7" s="13"/>
      <c r="L7" s="112" t="s">
        <v>22</v>
      </c>
      <c r="M7" s="112" t="s">
        <v>23</v>
      </c>
      <c r="N7" s="19"/>
      <c r="O7" s="19"/>
      <c r="P7" s="19"/>
      <c r="Q7" s="13"/>
      <c r="R7" s="13"/>
      <c r="S7" s="16"/>
      <c r="T7" s="113"/>
      <c r="U7" s="107"/>
      <c r="V7" s="103"/>
      <c r="W7" s="114"/>
      <c r="X7" s="103"/>
    </row>
    <row r="8" spans="1:24" s="10" customFormat="1" ht="14.25" customHeight="1">
      <c r="A8" s="115" t="s">
        <v>24</v>
      </c>
      <c r="B8" s="116"/>
      <c r="C8" s="24" t="s">
        <v>25</v>
      </c>
      <c r="D8" s="24" t="s">
        <v>26</v>
      </c>
      <c r="E8" s="24" t="s">
        <v>27</v>
      </c>
      <c r="F8" s="24" t="s">
        <v>28</v>
      </c>
      <c r="G8" s="24" t="s">
        <v>29</v>
      </c>
      <c r="H8" s="24" t="s">
        <v>30</v>
      </c>
      <c r="I8" s="24" t="s">
        <v>31</v>
      </c>
      <c r="J8" s="24" t="s">
        <v>32</v>
      </c>
      <c r="K8" s="24" t="s">
        <v>33</v>
      </c>
      <c r="L8" s="25" t="s">
        <v>34</v>
      </c>
      <c r="M8" s="25" t="s">
        <v>35</v>
      </c>
      <c r="N8" s="25" t="s">
        <v>36</v>
      </c>
      <c r="O8" s="25" t="s">
        <v>37</v>
      </c>
      <c r="P8" s="25" t="s">
        <v>38</v>
      </c>
      <c r="Q8" s="24" t="s">
        <v>39</v>
      </c>
      <c r="R8" s="24" t="s">
        <v>40</v>
      </c>
      <c r="S8" s="24" t="s">
        <v>41</v>
      </c>
      <c r="T8" s="24" t="s">
        <v>42</v>
      </c>
      <c r="U8" s="24" t="s">
        <v>43</v>
      </c>
      <c r="V8" s="95"/>
      <c r="W8" s="95"/>
      <c r="X8" s="95"/>
    </row>
    <row r="9" spans="1:24" s="130" customFormat="1" ht="16.5" customHeight="1">
      <c r="A9" s="98" t="s">
        <v>44</v>
      </c>
      <c r="B9" s="98"/>
      <c r="C9" s="91">
        <f aca="true" t="shared" si="0" ref="C9:C48">D9</f>
        <v>1762</v>
      </c>
      <c r="D9" s="91">
        <f>E9+F9</f>
        <v>1762</v>
      </c>
      <c r="E9" s="117">
        <f>SUM(E10,E16)</f>
        <v>794</v>
      </c>
      <c r="F9" s="117">
        <f>SUM(F10,F16)</f>
        <v>968</v>
      </c>
      <c r="G9" s="117">
        <f>SUM(G10,G16)</f>
        <v>11</v>
      </c>
      <c r="H9" s="91">
        <f>SUM(H10:H16)</f>
        <v>0</v>
      </c>
      <c r="I9" s="91">
        <f>SUM(I11:I16)</f>
        <v>1751</v>
      </c>
      <c r="J9" s="91">
        <f aca="true" t="shared" si="1" ref="J9:T9">SUM(J11:J16)</f>
        <v>1371</v>
      </c>
      <c r="K9" s="91">
        <f t="shared" si="1"/>
        <v>648</v>
      </c>
      <c r="L9" s="91">
        <f t="shared" si="1"/>
        <v>630</v>
      </c>
      <c r="M9" s="91">
        <f t="shared" si="1"/>
        <v>18</v>
      </c>
      <c r="N9" s="91">
        <f t="shared" si="1"/>
        <v>719</v>
      </c>
      <c r="O9" s="91">
        <f t="shared" si="1"/>
        <v>0</v>
      </c>
      <c r="P9" s="91">
        <f t="shared" si="1"/>
        <v>4</v>
      </c>
      <c r="Q9" s="91">
        <f t="shared" si="1"/>
        <v>373</v>
      </c>
      <c r="R9" s="91">
        <f t="shared" si="1"/>
        <v>0</v>
      </c>
      <c r="S9" s="91">
        <f t="shared" si="1"/>
        <v>7</v>
      </c>
      <c r="T9" s="91">
        <f t="shared" si="1"/>
        <v>1103</v>
      </c>
      <c r="U9" s="127">
        <f aca="true" t="shared" si="2" ref="U9:U48">IF(J9&lt;&gt;0,K9/J9,"")</f>
        <v>0.4726477024070022</v>
      </c>
      <c r="V9" s="128">
        <f>IF(I9=C9-G9-H9,I9,"KT lai")</f>
        <v>1751</v>
      </c>
      <c r="W9" s="129" t="s">
        <v>45</v>
      </c>
      <c r="X9" s="128"/>
    </row>
    <row r="10" spans="1:24" s="130" customFormat="1" ht="13.5" customHeight="1">
      <c r="A10" s="120" t="s">
        <v>46</v>
      </c>
      <c r="B10" s="121" t="s">
        <v>47</v>
      </c>
      <c r="C10" s="91">
        <f t="shared" si="0"/>
        <v>128</v>
      </c>
      <c r="D10" s="91">
        <f>F10+E10</f>
        <v>128</v>
      </c>
      <c r="E10" s="117">
        <f>SUM(E11:E15)</f>
        <v>61</v>
      </c>
      <c r="F10" s="117">
        <f>SUM(F11:F15)</f>
        <v>67</v>
      </c>
      <c r="G10" s="117">
        <f>SUM(G11:G15)</f>
        <v>4</v>
      </c>
      <c r="H10" s="122">
        <f>SUM(H11:H16)</f>
        <v>0</v>
      </c>
      <c r="I10" s="91">
        <f>D10-G10-H10</f>
        <v>124</v>
      </c>
      <c r="J10" s="91">
        <f>L10+M10+N10+P10</f>
        <v>101</v>
      </c>
      <c r="K10" s="91">
        <f>M10+L10</f>
        <v>33</v>
      </c>
      <c r="L10" s="122">
        <f>SUM(L11:L15)</f>
        <v>33</v>
      </c>
      <c r="M10" s="122">
        <f>SUM(M11:M15)</f>
        <v>0</v>
      </c>
      <c r="N10" s="122">
        <f>SUM(N11:N15)</f>
        <v>68</v>
      </c>
      <c r="O10" s="122">
        <f>SUM(O11,O18)</f>
        <v>0</v>
      </c>
      <c r="P10" s="122">
        <f>SUM(P11:P15)</f>
        <v>0</v>
      </c>
      <c r="Q10" s="122">
        <f>I10-J10-R10-S10</f>
        <v>22</v>
      </c>
      <c r="R10" s="91">
        <f>SUM(R11:R16)</f>
        <v>0</v>
      </c>
      <c r="S10" s="122">
        <f>SUM(S11:S15)</f>
        <v>1</v>
      </c>
      <c r="T10" s="117">
        <f aca="true" t="shared" si="3" ref="T10:T48">N10+O10+P10+Q10+R10+S10</f>
        <v>91</v>
      </c>
      <c r="U10" s="127">
        <f t="shared" si="2"/>
        <v>0.32673267326732675</v>
      </c>
      <c r="V10" s="128">
        <f aca="true" t="shared" si="4" ref="V10:V48">IF(I10=C10-G10-H10,I10,"KT lai")</f>
        <v>124</v>
      </c>
      <c r="W10" s="129">
        <f aca="true" t="shared" si="5" ref="W10:W48">J10+Q10+S10</f>
        <v>124</v>
      </c>
      <c r="X10" s="129">
        <f>V10-W10</f>
        <v>0</v>
      </c>
    </row>
    <row r="11" spans="1:24" s="90" customFormat="1" ht="13.5" customHeight="1">
      <c r="A11" s="124">
        <v>1.1</v>
      </c>
      <c r="B11" s="125" t="s">
        <v>48</v>
      </c>
      <c r="C11" s="27">
        <f t="shared" si="0"/>
        <v>38</v>
      </c>
      <c r="D11" s="27">
        <f aca="true" t="shared" si="6" ref="D11:D48">F11+E11</f>
        <v>38</v>
      </c>
      <c r="E11" s="26">
        <f>'[2]04 Quy'!E11</f>
        <v>24</v>
      </c>
      <c r="F11" s="123">
        <v>14</v>
      </c>
      <c r="G11" s="123">
        <v>0</v>
      </c>
      <c r="H11" s="123">
        <v>0</v>
      </c>
      <c r="I11" s="27">
        <f aca="true" t="shared" si="7" ref="I11:I48">D11-G11-H11</f>
        <v>38</v>
      </c>
      <c r="J11" s="27">
        <f aca="true" t="shared" si="8" ref="J11:J48">L11+M11+N11+P11</f>
        <v>26</v>
      </c>
      <c r="K11" s="27">
        <f aca="true" t="shared" si="9" ref="K11:K48">M11+L11</f>
        <v>10</v>
      </c>
      <c r="L11" s="123">
        <v>10</v>
      </c>
      <c r="M11" s="123">
        <v>0</v>
      </c>
      <c r="N11" s="123">
        <v>16</v>
      </c>
      <c r="O11" s="123">
        <v>0</v>
      </c>
      <c r="P11" s="123">
        <v>0</v>
      </c>
      <c r="Q11" s="26">
        <v>12</v>
      </c>
      <c r="R11" s="26"/>
      <c r="S11" s="123">
        <v>0</v>
      </c>
      <c r="T11" s="123">
        <f t="shared" si="3"/>
        <v>28</v>
      </c>
      <c r="U11" s="118">
        <f t="shared" si="2"/>
        <v>0.38461538461538464</v>
      </c>
      <c r="V11" s="119">
        <f t="shared" si="4"/>
        <v>38</v>
      </c>
      <c r="W11" s="89">
        <f t="shared" si="5"/>
        <v>38</v>
      </c>
      <c r="X11" s="89">
        <f aca="true" t="shared" si="10" ref="X11:X48">V11-W11</f>
        <v>0</v>
      </c>
    </row>
    <row r="12" spans="1:24" s="90" customFormat="1" ht="13.5" customHeight="1">
      <c r="A12" s="124">
        <v>1.2</v>
      </c>
      <c r="B12" s="125" t="s">
        <v>49</v>
      </c>
      <c r="C12" s="27">
        <f t="shared" si="0"/>
        <v>21</v>
      </c>
      <c r="D12" s="27">
        <f t="shared" si="6"/>
        <v>21</v>
      </c>
      <c r="E12" s="26">
        <v>13</v>
      </c>
      <c r="F12" s="123">
        <v>8</v>
      </c>
      <c r="G12" s="123">
        <v>0</v>
      </c>
      <c r="H12" s="123">
        <v>0</v>
      </c>
      <c r="I12" s="27">
        <f t="shared" si="7"/>
        <v>21</v>
      </c>
      <c r="J12" s="27">
        <f t="shared" si="8"/>
        <v>17</v>
      </c>
      <c r="K12" s="27">
        <f t="shared" si="9"/>
        <v>7</v>
      </c>
      <c r="L12" s="123">
        <v>7</v>
      </c>
      <c r="M12" s="123">
        <v>0</v>
      </c>
      <c r="N12" s="123">
        <v>10</v>
      </c>
      <c r="O12" s="123">
        <v>0</v>
      </c>
      <c r="P12" s="123">
        <v>0</v>
      </c>
      <c r="Q12" s="26">
        <v>4</v>
      </c>
      <c r="R12" s="26"/>
      <c r="S12" s="123">
        <v>0</v>
      </c>
      <c r="T12" s="123">
        <f t="shared" si="3"/>
        <v>14</v>
      </c>
      <c r="U12" s="118">
        <f t="shared" si="2"/>
        <v>0.4117647058823529</v>
      </c>
      <c r="V12" s="119">
        <f t="shared" si="4"/>
        <v>21</v>
      </c>
      <c r="W12" s="89">
        <f t="shared" si="5"/>
        <v>21</v>
      </c>
      <c r="X12" s="89">
        <f t="shared" si="10"/>
        <v>0</v>
      </c>
    </row>
    <row r="13" spans="1:24" s="90" customFormat="1" ht="13.5" customHeight="1">
      <c r="A13" s="124">
        <v>1.3</v>
      </c>
      <c r="B13" s="125" t="s">
        <v>50</v>
      </c>
      <c r="C13" s="27">
        <f t="shared" si="0"/>
        <v>32</v>
      </c>
      <c r="D13" s="27">
        <f t="shared" si="6"/>
        <v>32</v>
      </c>
      <c r="E13" s="126">
        <v>12</v>
      </c>
      <c r="F13" s="123">
        <v>20</v>
      </c>
      <c r="G13" s="123">
        <v>3</v>
      </c>
      <c r="H13" s="123">
        <v>0</v>
      </c>
      <c r="I13" s="27">
        <f t="shared" si="7"/>
        <v>29</v>
      </c>
      <c r="J13" s="27">
        <f t="shared" si="8"/>
        <v>24</v>
      </c>
      <c r="K13" s="27">
        <f t="shared" si="9"/>
        <v>4</v>
      </c>
      <c r="L13" s="123">
        <v>4</v>
      </c>
      <c r="M13" s="123">
        <v>0</v>
      </c>
      <c r="N13" s="123">
        <v>20</v>
      </c>
      <c r="O13" s="123">
        <v>0</v>
      </c>
      <c r="P13" s="123">
        <v>0</v>
      </c>
      <c r="Q13" s="26">
        <v>4</v>
      </c>
      <c r="R13" s="26"/>
      <c r="S13" s="123">
        <v>1</v>
      </c>
      <c r="T13" s="123">
        <f t="shared" si="3"/>
        <v>25</v>
      </c>
      <c r="U13" s="118">
        <f t="shared" si="2"/>
        <v>0.16666666666666666</v>
      </c>
      <c r="V13" s="119">
        <f t="shared" si="4"/>
        <v>29</v>
      </c>
      <c r="W13" s="89">
        <f t="shared" si="5"/>
        <v>29</v>
      </c>
      <c r="X13" s="89">
        <f t="shared" si="10"/>
        <v>0</v>
      </c>
    </row>
    <row r="14" spans="1:24" s="90" customFormat="1" ht="13.5" customHeight="1">
      <c r="A14" s="124">
        <v>1.4</v>
      </c>
      <c r="B14" s="125" t="s">
        <v>51</v>
      </c>
      <c r="C14" s="27">
        <f t="shared" si="0"/>
        <v>17</v>
      </c>
      <c r="D14" s="27">
        <f>F14+E14</f>
        <v>17</v>
      </c>
      <c r="E14" s="26">
        <f>'[2]04 Hiep'!E11</f>
        <v>10</v>
      </c>
      <c r="F14" s="123">
        <v>7</v>
      </c>
      <c r="G14" s="123">
        <v>1</v>
      </c>
      <c r="H14" s="123">
        <v>0</v>
      </c>
      <c r="I14" s="27">
        <f>D14-G14-H14</f>
        <v>16</v>
      </c>
      <c r="J14" s="27">
        <f>L14+M14+N14+P14</f>
        <v>16</v>
      </c>
      <c r="K14" s="27">
        <f>M14+L14</f>
        <v>3</v>
      </c>
      <c r="L14" s="123">
        <v>3</v>
      </c>
      <c r="M14" s="123">
        <v>0</v>
      </c>
      <c r="N14" s="123">
        <v>13</v>
      </c>
      <c r="O14" s="123">
        <v>0</v>
      </c>
      <c r="P14" s="123">
        <v>0</v>
      </c>
      <c r="Q14" s="26">
        <f>'[2]04 Hiep'!Q11</f>
        <v>0</v>
      </c>
      <c r="R14" s="26"/>
      <c r="S14" s="123">
        <v>0</v>
      </c>
      <c r="T14" s="123">
        <f>N14+O14+P14+Q14+R14+S14</f>
        <v>13</v>
      </c>
      <c r="U14" s="118">
        <f>IF(J14&lt;&gt;0,K14/J14,"")</f>
        <v>0.1875</v>
      </c>
      <c r="V14" s="119">
        <f>IF(I14=C14-G14-H14,I14,"KT lai")</f>
        <v>16</v>
      </c>
      <c r="W14" s="89">
        <f>J14+Q14+S14</f>
        <v>16</v>
      </c>
      <c r="X14" s="89">
        <f t="shared" si="10"/>
        <v>0</v>
      </c>
    </row>
    <row r="15" spans="1:24" s="90" customFormat="1" ht="13.5" customHeight="1">
      <c r="A15" s="124">
        <v>1.5</v>
      </c>
      <c r="B15" s="125" t="s">
        <v>52</v>
      </c>
      <c r="C15" s="27">
        <f t="shared" si="0"/>
        <v>20</v>
      </c>
      <c r="D15" s="27">
        <f>F15+E15</f>
        <v>20</v>
      </c>
      <c r="E15" s="26">
        <f>'[2]04 hoan'!E10</f>
        <v>2</v>
      </c>
      <c r="F15" s="123">
        <v>18</v>
      </c>
      <c r="G15" s="123">
        <v>0</v>
      </c>
      <c r="H15" s="123">
        <v>0</v>
      </c>
      <c r="I15" s="27">
        <f>D15-G15-H15</f>
        <v>20</v>
      </c>
      <c r="J15" s="27">
        <f>L15+M15+N15+P15</f>
        <v>18</v>
      </c>
      <c r="K15" s="27">
        <f>M15+L15</f>
        <v>9</v>
      </c>
      <c r="L15" s="123">
        <v>9</v>
      </c>
      <c r="M15" s="123">
        <v>0</v>
      </c>
      <c r="N15" s="123">
        <v>9</v>
      </c>
      <c r="O15" s="123">
        <v>0</v>
      </c>
      <c r="P15" s="123">
        <v>0</v>
      </c>
      <c r="Q15" s="26">
        <f>'[2]04 hoan'!Q11</f>
        <v>2</v>
      </c>
      <c r="R15" s="26"/>
      <c r="S15" s="123">
        <v>0</v>
      </c>
      <c r="T15" s="123">
        <f>N15+O15+P15+Q15+R15+S15</f>
        <v>11</v>
      </c>
      <c r="U15" s="118">
        <f>IF(J15&lt;&gt;0,K15/J15,"")</f>
        <v>0.5</v>
      </c>
      <c r="V15" s="119">
        <f>IF(I15=C15-G15-H15,I15,"KT lai")</f>
        <v>20</v>
      </c>
      <c r="W15" s="89">
        <f>J15+Q15+S15</f>
        <v>20</v>
      </c>
      <c r="X15" s="89">
        <f t="shared" si="10"/>
        <v>0</v>
      </c>
    </row>
    <row r="16" spans="1:24" s="130" customFormat="1" ht="22.5" customHeight="1">
      <c r="A16" s="120" t="s">
        <v>53</v>
      </c>
      <c r="B16" s="121" t="s">
        <v>54</v>
      </c>
      <c r="C16" s="91">
        <f t="shared" si="0"/>
        <v>1634</v>
      </c>
      <c r="D16" s="91">
        <f>D17+D22+D27+D32+D38+D43</f>
        <v>1634</v>
      </c>
      <c r="E16" s="122">
        <f>SUM(E17,E22,E27,E32,E38,E43)</f>
        <v>733</v>
      </c>
      <c r="F16" s="122">
        <f>SUM(F17,F22,F27,F32,F38,F43)</f>
        <v>901</v>
      </c>
      <c r="G16" s="122">
        <f>SUM(G17,G22,G27,G32,G38,G43)</f>
        <v>7</v>
      </c>
      <c r="H16" s="122">
        <f>SUM(H17,H22,H27,H32,H38,H43)</f>
        <v>0</v>
      </c>
      <c r="I16" s="91">
        <f t="shared" si="7"/>
        <v>1627</v>
      </c>
      <c r="J16" s="91">
        <f t="shared" si="8"/>
        <v>1270</v>
      </c>
      <c r="K16" s="91">
        <f t="shared" si="9"/>
        <v>615</v>
      </c>
      <c r="L16" s="122">
        <f>SUM(L17,L22,L27,L32,L38,L43)</f>
        <v>597</v>
      </c>
      <c r="M16" s="122">
        <f>SUM(M17,M22,M27,M32,M38,M43)</f>
        <v>18</v>
      </c>
      <c r="N16" s="122">
        <f>SUM(N17,N22,N27,N32,N38,N43)</f>
        <v>651</v>
      </c>
      <c r="O16" s="122">
        <f>SUM(O17,O22,O27,O32,O38,O43)</f>
        <v>0</v>
      </c>
      <c r="P16" s="122">
        <f>SUM(P17,P22,P27,P32,P38,P43)</f>
        <v>4</v>
      </c>
      <c r="Q16" s="122">
        <f>I16-J16-R16-S16</f>
        <v>351</v>
      </c>
      <c r="R16" s="91">
        <f>R17+R22+R27+R32+R38+R43</f>
        <v>0</v>
      </c>
      <c r="S16" s="122">
        <f>SUM(S17,S22,S27,S32,S38,S43)</f>
        <v>6</v>
      </c>
      <c r="T16" s="91">
        <f>T17+T22+T27+T32+T38+T43</f>
        <v>1012</v>
      </c>
      <c r="U16" s="127">
        <f t="shared" si="2"/>
        <v>0.484251968503937</v>
      </c>
      <c r="V16" s="128">
        <f t="shared" si="4"/>
        <v>1627</v>
      </c>
      <c r="W16" s="129">
        <f t="shared" si="5"/>
        <v>1627</v>
      </c>
      <c r="X16" s="129">
        <f t="shared" si="10"/>
        <v>0</v>
      </c>
    </row>
    <row r="17" spans="1:24" s="90" customFormat="1" ht="27.75" customHeight="1">
      <c r="A17" s="131">
        <v>1</v>
      </c>
      <c r="B17" s="121" t="s">
        <v>55</v>
      </c>
      <c r="C17" s="27">
        <f t="shared" si="0"/>
        <v>303</v>
      </c>
      <c r="D17" s="27">
        <f t="shared" si="6"/>
        <v>303</v>
      </c>
      <c r="E17" s="122">
        <f>SUM(E18:E21)</f>
        <v>149</v>
      </c>
      <c r="F17" s="122">
        <f>SUM(F18:F21)</f>
        <v>154</v>
      </c>
      <c r="G17" s="122">
        <f>SUM(G18:G21)</f>
        <v>2</v>
      </c>
      <c r="H17" s="122">
        <f>SUM(H18:H21)</f>
        <v>0</v>
      </c>
      <c r="I17" s="27">
        <f t="shared" si="7"/>
        <v>301</v>
      </c>
      <c r="J17" s="27">
        <f t="shared" si="8"/>
        <v>220</v>
      </c>
      <c r="K17" s="27">
        <f t="shared" si="9"/>
        <v>127</v>
      </c>
      <c r="L17" s="122">
        <f>SUM(L18:L21)</f>
        <v>127</v>
      </c>
      <c r="M17" s="122">
        <f>SUM(M18:M21)</f>
        <v>0</v>
      </c>
      <c r="N17" s="122">
        <f>SUM(N18:N21)</f>
        <v>90</v>
      </c>
      <c r="O17" s="122">
        <f>SUM(O18:O21)</f>
        <v>0</v>
      </c>
      <c r="P17" s="122">
        <f>SUM(P18:P21)</f>
        <v>3</v>
      </c>
      <c r="Q17" s="122">
        <f>SUM(Q18:Q21)</f>
        <v>81</v>
      </c>
      <c r="R17" s="122">
        <f>SUM(R18:R21)</f>
        <v>0</v>
      </c>
      <c r="S17" s="122">
        <f>SUM(S18:S21)</f>
        <v>0</v>
      </c>
      <c r="T17" s="122">
        <f t="shared" si="3"/>
        <v>174</v>
      </c>
      <c r="U17" s="118">
        <f t="shared" si="2"/>
        <v>0.5772727272727273</v>
      </c>
      <c r="V17" s="119">
        <f t="shared" si="4"/>
        <v>301</v>
      </c>
      <c r="W17" s="89">
        <f t="shared" si="5"/>
        <v>301</v>
      </c>
      <c r="X17" s="89">
        <f t="shared" si="10"/>
        <v>0</v>
      </c>
    </row>
    <row r="18" spans="1:24" s="90" customFormat="1" ht="17.25" customHeight="1">
      <c r="A18" s="124">
        <v>1.1</v>
      </c>
      <c r="B18" s="125" t="s">
        <v>56</v>
      </c>
      <c r="C18" s="27">
        <f t="shared" si="0"/>
        <v>79</v>
      </c>
      <c r="D18" s="27">
        <f t="shared" si="6"/>
        <v>79</v>
      </c>
      <c r="E18" s="126">
        <v>37</v>
      </c>
      <c r="F18" s="123">
        <v>42</v>
      </c>
      <c r="G18" s="123">
        <v>0</v>
      </c>
      <c r="H18" s="123">
        <v>0</v>
      </c>
      <c r="I18" s="27">
        <f t="shared" si="7"/>
        <v>79</v>
      </c>
      <c r="J18" s="27">
        <f t="shared" si="8"/>
        <v>62</v>
      </c>
      <c r="K18" s="27">
        <f t="shared" si="9"/>
        <v>32</v>
      </c>
      <c r="L18" s="123">
        <v>32</v>
      </c>
      <c r="M18" s="123">
        <v>0</v>
      </c>
      <c r="N18" s="123">
        <v>28</v>
      </c>
      <c r="O18" s="123">
        <v>0</v>
      </c>
      <c r="P18" s="123">
        <v>2</v>
      </c>
      <c r="Q18" s="26">
        <v>17</v>
      </c>
      <c r="R18" s="26"/>
      <c r="S18" s="123">
        <v>0</v>
      </c>
      <c r="T18" s="122">
        <f t="shared" si="3"/>
        <v>47</v>
      </c>
      <c r="U18" s="118">
        <f t="shared" si="2"/>
        <v>0.5161290322580645</v>
      </c>
      <c r="V18" s="119">
        <f t="shared" si="4"/>
        <v>79</v>
      </c>
      <c r="W18" s="89">
        <f t="shared" si="5"/>
        <v>79</v>
      </c>
      <c r="X18" s="89">
        <f t="shared" si="10"/>
        <v>0</v>
      </c>
    </row>
    <row r="19" spans="1:24" s="90" customFormat="1" ht="13.5" customHeight="1">
      <c r="A19" s="124">
        <v>1.2</v>
      </c>
      <c r="B19" s="125" t="s">
        <v>57</v>
      </c>
      <c r="C19" s="27">
        <f t="shared" si="0"/>
        <v>77</v>
      </c>
      <c r="D19" s="27">
        <f t="shared" si="6"/>
        <v>77</v>
      </c>
      <c r="E19" s="126">
        <v>53</v>
      </c>
      <c r="F19" s="123">
        <v>24</v>
      </c>
      <c r="G19" s="123">
        <v>2</v>
      </c>
      <c r="H19" s="123">
        <v>0</v>
      </c>
      <c r="I19" s="27">
        <f t="shared" si="7"/>
        <v>75</v>
      </c>
      <c r="J19" s="27">
        <f t="shared" si="8"/>
        <v>40</v>
      </c>
      <c r="K19" s="27">
        <f t="shared" si="9"/>
        <v>17</v>
      </c>
      <c r="L19" s="123">
        <v>17</v>
      </c>
      <c r="M19" s="123">
        <v>0</v>
      </c>
      <c r="N19" s="123">
        <v>23</v>
      </c>
      <c r="O19" s="123">
        <v>0</v>
      </c>
      <c r="P19" s="123">
        <v>0</v>
      </c>
      <c r="Q19" s="26">
        <v>35</v>
      </c>
      <c r="R19" s="26"/>
      <c r="S19" s="123">
        <v>0</v>
      </c>
      <c r="T19" s="123">
        <f t="shared" si="3"/>
        <v>58</v>
      </c>
      <c r="U19" s="118">
        <f t="shared" si="2"/>
        <v>0.425</v>
      </c>
      <c r="V19" s="119">
        <f t="shared" si="4"/>
        <v>75</v>
      </c>
      <c r="W19" s="89">
        <f t="shared" si="5"/>
        <v>75</v>
      </c>
      <c r="X19" s="89">
        <f t="shared" si="10"/>
        <v>0</v>
      </c>
    </row>
    <row r="20" spans="1:24" s="90" customFormat="1" ht="13.5" customHeight="1">
      <c r="A20" s="124">
        <v>1.3</v>
      </c>
      <c r="B20" s="125" t="s">
        <v>58</v>
      </c>
      <c r="C20" s="27">
        <f t="shared" si="0"/>
        <v>104</v>
      </c>
      <c r="D20" s="27">
        <f t="shared" si="6"/>
        <v>104</v>
      </c>
      <c r="E20" s="126">
        <v>44</v>
      </c>
      <c r="F20" s="123">
        <v>60</v>
      </c>
      <c r="G20" s="123">
        <v>0</v>
      </c>
      <c r="H20" s="123">
        <v>0</v>
      </c>
      <c r="I20" s="27">
        <f t="shared" si="7"/>
        <v>104</v>
      </c>
      <c r="J20" s="27">
        <f t="shared" si="8"/>
        <v>83</v>
      </c>
      <c r="K20" s="27">
        <f t="shared" si="9"/>
        <v>51</v>
      </c>
      <c r="L20" s="123">
        <v>51</v>
      </c>
      <c r="M20" s="123">
        <v>0</v>
      </c>
      <c r="N20" s="123">
        <v>31</v>
      </c>
      <c r="O20" s="123">
        <v>0</v>
      </c>
      <c r="P20" s="123">
        <v>1</v>
      </c>
      <c r="Q20" s="26">
        <v>21</v>
      </c>
      <c r="R20" s="26"/>
      <c r="S20" s="123">
        <v>0</v>
      </c>
      <c r="T20" s="123">
        <f t="shared" si="3"/>
        <v>53</v>
      </c>
      <c r="U20" s="118">
        <f t="shared" si="2"/>
        <v>0.6144578313253012</v>
      </c>
      <c r="V20" s="119">
        <f t="shared" si="4"/>
        <v>104</v>
      </c>
      <c r="W20" s="89">
        <f t="shared" si="5"/>
        <v>104</v>
      </c>
      <c r="X20" s="89">
        <f t="shared" si="10"/>
        <v>0</v>
      </c>
    </row>
    <row r="21" spans="1:24" s="90" customFormat="1" ht="13.5" customHeight="1">
      <c r="A21" s="124">
        <v>1.4</v>
      </c>
      <c r="B21" s="125" t="s">
        <v>59</v>
      </c>
      <c r="C21" s="27">
        <f t="shared" si="0"/>
        <v>43</v>
      </c>
      <c r="D21" s="27">
        <f t="shared" si="6"/>
        <v>43</v>
      </c>
      <c r="E21" s="126">
        <v>15</v>
      </c>
      <c r="F21" s="123">
        <v>28</v>
      </c>
      <c r="G21" s="123">
        <v>0</v>
      </c>
      <c r="H21" s="123">
        <v>0</v>
      </c>
      <c r="I21" s="27">
        <f t="shared" si="7"/>
        <v>43</v>
      </c>
      <c r="J21" s="27">
        <f t="shared" si="8"/>
        <v>35</v>
      </c>
      <c r="K21" s="27">
        <f t="shared" si="9"/>
        <v>27</v>
      </c>
      <c r="L21" s="123">
        <v>27</v>
      </c>
      <c r="M21" s="123">
        <v>0</v>
      </c>
      <c r="N21" s="123">
        <v>8</v>
      </c>
      <c r="O21" s="123">
        <v>0</v>
      </c>
      <c r="P21" s="123">
        <v>0</v>
      </c>
      <c r="Q21" s="26">
        <v>8</v>
      </c>
      <c r="R21" s="26"/>
      <c r="S21" s="123">
        <v>0</v>
      </c>
      <c r="T21" s="123">
        <f t="shared" si="3"/>
        <v>16</v>
      </c>
      <c r="U21" s="118">
        <f t="shared" si="2"/>
        <v>0.7714285714285715</v>
      </c>
      <c r="V21" s="119">
        <f t="shared" si="4"/>
        <v>43</v>
      </c>
      <c r="W21" s="89">
        <f t="shared" si="5"/>
        <v>43</v>
      </c>
      <c r="X21" s="89">
        <f t="shared" si="10"/>
        <v>0</v>
      </c>
    </row>
    <row r="22" spans="1:24" s="130" customFormat="1" ht="28.5" customHeight="1">
      <c r="A22" s="131">
        <v>2</v>
      </c>
      <c r="B22" s="121" t="s">
        <v>60</v>
      </c>
      <c r="C22" s="91">
        <f t="shared" si="0"/>
        <v>189</v>
      </c>
      <c r="D22" s="91">
        <f t="shared" si="6"/>
        <v>189</v>
      </c>
      <c r="E22" s="122">
        <f>SUM(E23:E26)</f>
        <v>66</v>
      </c>
      <c r="F22" s="122">
        <f>SUM(F23:F26)</f>
        <v>123</v>
      </c>
      <c r="G22" s="122">
        <f>SUM(G23:G26)</f>
        <v>1</v>
      </c>
      <c r="H22" s="122">
        <f>SUM(H23:H26)</f>
        <v>0</v>
      </c>
      <c r="I22" s="91">
        <f t="shared" si="7"/>
        <v>188</v>
      </c>
      <c r="J22" s="91">
        <f t="shared" si="8"/>
        <v>168</v>
      </c>
      <c r="K22" s="91">
        <f t="shared" si="9"/>
        <v>98</v>
      </c>
      <c r="L22" s="122">
        <f>SUM(L23:L26)</f>
        <v>98</v>
      </c>
      <c r="M22" s="122">
        <f>SUM(M23:M26)</f>
        <v>0</v>
      </c>
      <c r="N22" s="122">
        <f>SUM(N23:N26)</f>
        <v>70</v>
      </c>
      <c r="O22" s="122">
        <f>SUM(O23:O26)</f>
        <v>0</v>
      </c>
      <c r="P22" s="122">
        <f>SUM(P23:P26)</f>
        <v>0</v>
      </c>
      <c r="Q22" s="122">
        <f>SUM(Q23:Q26)</f>
        <v>20</v>
      </c>
      <c r="R22" s="142"/>
      <c r="S22" s="122">
        <f>SUM(S23:S26)</f>
        <v>0</v>
      </c>
      <c r="T22" s="122">
        <f t="shared" si="3"/>
        <v>90</v>
      </c>
      <c r="U22" s="127">
        <f t="shared" si="2"/>
        <v>0.5833333333333334</v>
      </c>
      <c r="V22" s="128">
        <f t="shared" si="4"/>
        <v>188</v>
      </c>
      <c r="W22" s="129">
        <f t="shared" si="5"/>
        <v>188</v>
      </c>
      <c r="X22" s="129">
        <f t="shared" si="10"/>
        <v>0</v>
      </c>
    </row>
    <row r="23" spans="1:24" s="90" customFormat="1" ht="18" customHeight="1">
      <c r="A23" s="124">
        <v>2.1</v>
      </c>
      <c r="B23" s="125" t="s">
        <v>61</v>
      </c>
      <c r="C23" s="27">
        <f t="shared" si="0"/>
        <v>83</v>
      </c>
      <c r="D23" s="27">
        <f t="shared" si="6"/>
        <v>83</v>
      </c>
      <c r="E23" s="26">
        <v>23</v>
      </c>
      <c r="F23" s="123">
        <v>60</v>
      </c>
      <c r="G23" s="123">
        <v>1</v>
      </c>
      <c r="H23" s="123">
        <v>0</v>
      </c>
      <c r="I23" s="27">
        <f t="shared" si="7"/>
        <v>82</v>
      </c>
      <c r="J23" s="27">
        <f t="shared" si="8"/>
        <v>79</v>
      </c>
      <c r="K23" s="27">
        <f t="shared" si="9"/>
        <v>45</v>
      </c>
      <c r="L23" s="123">
        <v>45</v>
      </c>
      <c r="M23" s="123">
        <v>0</v>
      </c>
      <c r="N23" s="123">
        <v>34</v>
      </c>
      <c r="O23" s="123">
        <v>0</v>
      </c>
      <c r="P23" s="123">
        <v>0</v>
      </c>
      <c r="Q23" s="132">
        <v>3</v>
      </c>
      <c r="R23" s="26"/>
      <c r="S23" s="123">
        <v>0</v>
      </c>
      <c r="T23" s="122">
        <f t="shared" si="3"/>
        <v>37</v>
      </c>
      <c r="U23" s="118">
        <f t="shared" si="2"/>
        <v>0.569620253164557</v>
      </c>
      <c r="V23" s="119">
        <f t="shared" si="4"/>
        <v>82</v>
      </c>
      <c r="W23" s="89">
        <f t="shared" si="5"/>
        <v>82</v>
      </c>
      <c r="X23" s="89">
        <f t="shared" si="10"/>
        <v>0</v>
      </c>
    </row>
    <row r="24" spans="1:24" s="90" customFormat="1" ht="13.5" customHeight="1">
      <c r="A24" s="124">
        <v>2.2</v>
      </c>
      <c r="B24" s="125" t="s">
        <v>62</v>
      </c>
      <c r="C24" s="27">
        <f t="shared" si="0"/>
        <v>44</v>
      </c>
      <c r="D24" s="27">
        <f t="shared" si="6"/>
        <v>44</v>
      </c>
      <c r="E24" s="26">
        <v>19</v>
      </c>
      <c r="F24" s="123">
        <v>25</v>
      </c>
      <c r="G24" s="123">
        <v>0</v>
      </c>
      <c r="H24" s="123">
        <v>0</v>
      </c>
      <c r="I24" s="27">
        <f t="shared" si="7"/>
        <v>44</v>
      </c>
      <c r="J24" s="27">
        <f t="shared" si="8"/>
        <v>39</v>
      </c>
      <c r="K24" s="27">
        <f t="shared" si="9"/>
        <v>22</v>
      </c>
      <c r="L24" s="123">
        <v>22</v>
      </c>
      <c r="M24" s="123">
        <v>0</v>
      </c>
      <c r="N24" s="123">
        <v>17</v>
      </c>
      <c r="O24" s="123">
        <v>0</v>
      </c>
      <c r="P24" s="123">
        <v>0</v>
      </c>
      <c r="Q24" s="132">
        <v>5</v>
      </c>
      <c r="R24" s="26"/>
      <c r="S24" s="123">
        <v>0</v>
      </c>
      <c r="T24" s="123">
        <f t="shared" si="3"/>
        <v>22</v>
      </c>
      <c r="U24" s="118">
        <f t="shared" si="2"/>
        <v>0.5641025641025641</v>
      </c>
      <c r="V24" s="119">
        <f t="shared" si="4"/>
        <v>44</v>
      </c>
      <c r="W24" s="89">
        <f t="shared" si="5"/>
        <v>44</v>
      </c>
      <c r="X24" s="89">
        <f t="shared" si="10"/>
        <v>0</v>
      </c>
    </row>
    <row r="25" spans="1:24" s="90" customFormat="1" ht="13.5" customHeight="1">
      <c r="A25" s="124">
        <v>2.3</v>
      </c>
      <c r="B25" s="125" t="s">
        <v>63</v>
      </c>
      <c r="C25" s="27">
        <f t="shared" si="0"/>
        <v>53</v>
      </c>
      <c r="D25" s="27">
        <f t="shared" si="6"/>
        <v>53</v>
      </c>
      <c r="E25" s="26">
        <v>24</v>
      </c>
      <c r="F25" s="123">
        <v>29</v>
      </c>
      <c r="G25" s="123">
        <v>0</v>
      </c>
      <c r="H25" s="123">
        <v>0</v>
      </c>
      <c r="I25" s="27">
        <f t="shared" si="7"/>
        <v>53</v>
      </c>
      <c r="J25" s="27">
        <f t="shared" si="8"/>
        <v>41</v>
      </c>
      <c r="K25" s="27">
        <f t="shared" si="9"/>
        <v>22</v>
      </c>
      <c r="L25" s="123">
        <v>22</v>
      </c>
      <c r="M25" s="123">
        <v>0</v>
      </c>
      <c r="N25" s="123">
        <v>19</v>
      </c>
      <c r="O25" s="123">
        <v>0</v>
      </c>
      <c r="P25" s="123">
        <v>0</v>
      </c>
      <c r="Q25" s="132">
        <v>12</v>
      </c>
      <c r="R25" s="26"/>
      <c r="S25" s="123">
        <v>0</v>
      </c>
      <c r="T25" s="123">
        <f t="shared" si="3"/>
        <v>31</v>
      </c>
      <c r="U25" s="118">
        <f t="shared" si="2"/>
        <v>0.5365853658536586</v>
      </c>
      <c r="V25" s="119">
        <f t="shared" si="4"/>
        <v>53</v>
      </c>
      <c r="W25" s="89">
        <f t="shared" si="5"/>
        <v>53</v>
      </c>
      <c r="X25" s="89">
        <f t="shared" si="10"/>
        <v>0</v>
      </c>
    </row>
    <row r="26" spans="1:24" s="90" customFormat="1" ht="13.5" customHeight="1">
      <c r="A26" s="124">
        <v>2.4</v>
      </c>
      <c r="B26" s="125" t="s">
        <v>64</v>
      </c>
      <c r="C26" s="27">
        <f t="shared" si="0"/>
        <v>9</v>
      </c>
      <c r="D26" s="27">
        <f t="shared" si="6"/>
        <v>9</v>
      </c>
      <c r="E26" s="26">
        <v>0</v>
      </c>
      <c r="F26" s="123">
        <v>9</v>
      </c>
      <c r="G26" s="123">
        <v>0</v>
      </c>
      <c r="H26" s="123">
        <v>0</v>
      </c>
      <c r="I26" s="27">
        <f t="shared" si="7"/>
        <v>9</v>
      </c>
      <c r="J26" s="27">
        <f t="shared" si="8"/>
        <v>9</v>
      </c>
      <c r="K26" s="27">
        <f t="shared" si="9"/>
        <v>9</v>
      </c>
      <c r="L26" s="123">
        <v>9</v>
      </c>
      <c r="M26" s="123">
        <v>0</v>
      </c>
      <c r="N26" s="123">
        <v>0</v>
      </c>
      <c r="O26" s="123">
        <v>0</v>
      </c>
      <c r="P26" s="123">
        <v>0</v>
      </c>
      <c r="Q26" s="132"/>
      <c r="R26" s="26"/>
      <c r="S26" s="123">
        <v>0</v>
      </c>
      <c r="T26" s="123">
        <f t="shared" si="3"/>
        <v>0</v>
      </c>
      <c r="U26" s="118">
        <f t="shared" si="2"/>
        <v>1</v>
      </c>
      <c r="V26" s="119">
        <f t="shared" si="4"/>
        <v>9</v>
      </c>
      <c r="W26" s="89">
        <f t="shared" si="5"/>
        <v>9</v>
      </c>
      <c r="X26" s="89">
        <f t="shared" si="10"/>
        <v>0</v>
      </c>
    </row>
    <row r="27" spans="1:24" s="130" customFormat="1" ht="24.75" customHeight="1">
      <c r="A27" s="131">
        <v>3</v>
      </c>
      <c r="B27" s="121" t="s">
        <v>65</v>
      </c>
      <c r="C27" s="91">
        <f t="shared" si="0"/>
        <v>208</v>
      </c>
      <c r="D27" s="91">
        <f t="shared" si="6"/>
        <v>208</v>
      </c>
      <c r="E27" s="122">
        <f>SUM(E28:E31)</f>
        <v>75</v>
      </c>
      <c r="F27" s="122">
        <f>SUM(F28:F31)</f>
        <v>133</v>
      </c>
      <c r="G27" s="122">
        <f>SUM(G28:G31)</f>
        <v>3</v>
      </c>
      <c r="H27" s="122">
        <f>SUM(H28:H31)</f>
        <v>0</v>
      </c>
      <c r="I27" s="91">
        <f t="shared" si="7"/>
        <v>205</v>
      </c>
      <c r="J27" s="91">
        <f t="shared" si="8"/>
        <v>178</v>
      </c>
      <c r="K27" s="91">
        <f t="shared" si="9"/>
        <v>55</v>
      </c>
      <c r="L27" s="122">
        <f>SUM(L28:L31)</f>
        <v>55</v>
      </c>
      <c r="M27" s="122">
        <f>SUM(M28:M31)</f>
        <v>0</v>
      </c>
      <c r="N27" s="122">
        <f>SUM(N28:N31)</f>
        <v>123</v>
      </c>
      <c r="O27" s="122">
        <f>SUM(O28:O31)</f>
        <v>0</v>
      </c>
      <c r="P27" s="122">
        <f>SUM(P28:P31)</f>
        <v>0</v>
      </c>
      <c r="Q27" s="122">
        <f>SUM(Q28:Q31)</f>
        <v>25</v>
      </c>
      <c r="R27" s="142"/>
      <c r="S27" s="122">
        <f>SUM(S28:S31)</f>
        <v>2</v>
      </c>
      <c r="T27" s="122">
        <f t="shared" si="3"/>
        <v>150</v>
      </c>
      <c r="U27" s="127">
        <f t="shared" si="2"/>
        <v>0.3089887640449438</v>
      </c>
      <c r="V27" s="128">
        <f t="shared" si="4"/>
        <v>205</v>
      </c>
      <c r="W27" s="129">
        <f t="shared" si="5"/>
        <v>205</v>
      </c>
      <c r="X27" s="129">
        <f t="shared" si="10"/>
        <v>0</v>
      </c>
    </row>
    <row r="28" spans="1:24" s="90" customFormat="1" ht="21.75" customHeight="1">
      <c r="A28" s="124">
        <v>3.1</v>
      </c>
      <c r="B28" s="125" t="s">
        <v>66</v>
      </c>
      <c r="C28" s="27">
        <f t="shared" si="0"/>
        <v>30</v>
      </c>
      <c r="D28" s="27">
        <f t="shared" si="6"/>
        <v>30</v>
      </c>
      <c r="E28" s="26">
        <v>13</v>
      </c>
      <c r="F28" s="123">
        <v>17</v>
      </c>
      <c r="G28" s="123">
        <v>0</v>
      </c>
      <c r="H28" s="123">
        <v>0</v>
      </c>
      <c r="I28" s="27">
        <f t="shared" si="7"/>
        <v>30</v>
      </c>
      <c r="J28" s="27">
        <f t="shared" si="8"/>
        <v>24</v>
      </c>
      <c r="K28" s="27">
        <f t="shared" si="9"/>
        <v>7</v>
      </c>
      <c r="L28" s="123">
        <v>7</v>
      </c>
      <c r="M28" s="123">
        <v>0</v>
      </c>
      <c r="N28" s="123">
        <v>17</v>
      </c>
      <c r="O28" s="123">
        <v>0</v>
      </c>
      <c r="P28" s="123">
        <v>0</v>
      </c>
      <c r="Q28" s="132">
        <v>6</v>
      </c>
      <c r="R28" s="26"/>
      <c r="S28" s="123">
        <v>0</v>
      </c>
      <c r="T28" s="122">
        <f t="shared" si="3"/>
        <v>23</v>
      </c>
      <c r="U28" s="118">
        <f t="shared" si="2"/>
        <v>0.2916666666666667</v>
      </c>
      <c r="V28" s="119">
        <f t="shared" si="4"/>
        <v>30</v>
      </c>
      <c r="W28" s="89">
        <f t="shared" si="5"/>
        <v>30</v>
      </c>
      <c r="X28" s="89">
        <f t="shared" si="10"/>
        <v>0</v>
      </c>
    </row>
    <row r="29" spans="1:24" s="90" customFormat="1" ht="13.5" customHeight="1">
      <c r="A29" s="124">
        <v>3.2</v>
      </c>
      <c r="B29" s="125" t="s">
        <v>67</v>
      </c>
      <c r="C29" s="27">
        <f t="shared" si="0"/>
        <v>89</v>
      </c>
      <c r="D29" s="27">
        <f t="shared" si="6"/>
        <v>89</v>
      </c>
      <c r="E29" s="26">
        <v>32</v>
      </c>
      <c r="F29" s="123">
        <v>57</v>
      </c>
      <c r="G29" s="123">
        <v>1</v>
      </c>
      <c r="H29" s="123">
        <v>0</v>
      </c>
      <c r="I29" s="27">
        <f t="shared" si="7"/>
        <v>88</v>
      </c>
      <c r="J29" s="27">
        <f t="shared" si="8"/>
        <v>72</v>
      </c>
      <c r="K29" s="27">
        <f t="shared" si="9"/>
        <v>28</v>
      </c>
      <c r="L29" s="123">
        <v>28</v>
      </c>
      <c r="M29" s="123">
        <v>0</v>
      </c>
      <c r="N29" s="123">
        <v>44</v>
      </c>
      <c r="O29" s="123">
        <v>0</v>
      </c>
      <c r="P29" s="123">
        <v>0</v>
      </c>
      <c r="Q29" s="132">
        <v>14</v>
      </c>
      <c r="R29" s="26"/>
      <c r="S29" s="123">
        <v>2</v>
      </c>
      <c r="T29" s="123">
        <f t="shared" si="3"/>
        <v>60</v>
      </c>
      <c r="U29" s="118">
        <f t="shared" si="2"/>
        <v>0.3888888888888889</v>
      </c>
      <c r="V29" s="119">
        <f t="shared" si="4"/>
        <v>88</v>
      </c>
      <c r="W29" s="89">
        <f t="shared" si="5"/>
        <v>88</v>
      </c>
      <c r="X29" s="89">
        <f t="shared" si="10"/>
        <v>0</v>
      </c>
    </row>
    <row r="30" spans="1:24" s="90" customFormat="1" ht="13.5" customHeight="1">
      <c r="A30" s="124">
        <v>3.3</v>
      </c>
      <c r="B30" s="125" t="s">
        <v>68</v>
      </c>
      <c r="C30" s="27">
        <f t="shared" si="0"/>
        <v>61</v>
      </c>
      <c r="D30" s="27">
        <f t="shared" si="6"/>
        <v>61</v>
      </c>
      <c r="E30" s="26">
        <v>22</v>
      </c>
      <c r="F30" s="123">
        <v>39</v>
      </c>
      <c r="G30" s="123">
        <v>2</v>
      </c>
      <c r="H30" s="123">
        <v>0</v>
      </c>
      <c r="I30" s="27">
        <f t="shared" si="7"/>
        <v>59</v>
      </c>
      <c r="J30" s="27">
        <f t="shared" si="8"/>
        <v>54</v>
      </c>
      <c r="K30" s="27">
        <f t="shared" si="9"/>
        <v>16</v>
      </c>
      <c r="L30" s="123">
        <v>16</v>
      </c>
      <c r="M30" s="123">
        <v>0</v>
      </c>
      <c r="N30" s="123">
        <v>38</v>
      </c>
      <c r="O30" s="123">
        <v>0</v>
      </c>
      <c r="P30" s="123">
        <v>0</v>
      </c>
      <c r="Q30" s="132">
        <v>5</v>
      </c>
      <c r="R30" s="26"/>
      <c r="S30" s="123">
        <v>0</v>
      </c>
      <c r="T30" s="123">
        <f t="shared" si="3"/>
        <v>43</v>
      </c>
      <c r="U30" s="118">
        <f t="shared" si="2"/>
        <v>0.2962962962962963</v>
      </c>
      <c r="V30" s="119">
        <f t="shared" si="4"/>
        <v>59</v>
      </c>
      <c r="W30" s="89">
        <f t="shared" si="5"/>
        <v>59</v>
      </c>
      <c r="X30" s="89">
        <f t="shared" si="10"/>
        <v>0</v>
      </c>
    </row>
    <row r="31" spans="1:24" s="90" customFormat="1" ht="13.5" customHeight="1">
      <c r="A31" s="124">
        <v>3.4</v>
      </c>
      <c r="B31" s="125" t="s">
        <v>69</v>
      </c>
      <c r="C31" s="27">
        <f t="shared" si="0"/>
        <v>28</v>
      </c>
      <c r="D31" s="27">
        <f t="shared" si="6"/>
        <v>28</v>
      </c>
      <c r="E31" s="26">
        <v>8</v>
      </c>
      <c r="F31" s="123">
        <v>20</v>
      </c>
      <c r="G31" s="123">
        <v>0</v>
      </c>
      <c r="H31" s="123">
        <v>0</v>
      </c>
      <c r="I31" s="27">
        <f t="shared" si="7"/>
        <v>28</v>
      </c>
      <c r="J31" s="27">
        <f t="shared" si="8"/>
        <v>28</v>
      </c>
      <c r="K31" s="27">
        <f t="shared" si="9"/>
        <v>4</v>
      </c>
      <c r="L31" s="123">
        <v>4</v>
      </c>
      <c r="M31" s="123">
        <v>0</v>
      </c>
      <c r="N31" s="123">
        <v>24</v>
      </c>
      <c r="O31" s="123">
        <v>0</v>
      </c>
      <c r="P31" s="123">
        <v>0</v>
      </c>
      <c r="Q31" s="132"/>
      <c r="R31" s="26"/>
      <c r="S31" s="123">
        <v>0</v>
      </c>
      <c r="T31" s="123">
        <f t="shared" si="3"/>
        <v>24</v>
      </c>
      <c r="U31" s="118">
        <f t="shared" si="2"/>
        <v>0.14285714285714285</v>
      </c>
      <c r="V31" s="119">
        <f t="shared" si="4"/>
        <v>28</v>
      </c>
      <c r="W31" s="89">
        <f t="shared" si="5"/>
        <v>28</v>
      </c>
      <c r="X31" s="89">
        <f t="shared" si="10"/>
        <v>0</v>
      </c>
    </row>
    <row r="32" spans="1:24" s="130" customFormat="1" ht="22.5" customHeight="1">
      <c r="A32" s="131">
        <v>4</v>
      </c>
      <c r="B32" s="121" t="s">
        <v>70</v>
      </c>
      <c r="C32" s="91">
        <f t="shared" si="0"/>
        <v>157</v>
      </c>
      <c r="D32" s="91">
        <f t="shared" si="6"/>
        <v>157</v>
      </c>
      <c r="E32" s="122">
        <f>SUM(E33:E37)</f>
        <v>51</v>
      </c>
      <c r="F32" s="122">
        <f>SUM(F33:F37)</f>
        <v>106</v>
      </c>
      <c r="G32" s="122">
        <f>SUM(G33:G37)</f>
        <v>0</v>
      </c>
      <c r="H32" s="122">
        <f>SUM(H33:H37)</f>
        <v>0</v>
      </c>
      <c r="I32" s="91">
        <f t="shared" si="7"/>
        <v>157</v>
      </c>
      <c r="J32" s="91">
        <f t="shared" si="8"/>
        <v>133</v>
      </c>
      <c r="K32" s="91">
        <f t="shared" si="9"/>
        <v>84</v>
      </c>
      <c r="L32" s="122">
        <f>SUM(L33:L37)</f>
        <v>84</v>
      </c>
      <c r="M32" s="122">
        <f>SUM(M33:M37)</f>
        <v>0</v>
      </c>
      <c r="N32" s="122">
        <f>SUM(N33:N37)</f>
        <v>48</v>
      </c>
      <c r="O32" s="122">
        <f>SUM(O33:O37)</f>
        <v>0</v>
      </c>
      <c r="P32" s="122">
        <f>SUM(P33:P37)</f>
        <v>1</v>
      </c>
      <c r="Q32" s="122">
        <f>SUM(Q33:Q37)</f>
        <v>20</v>
      </c>
      <c r="R32" s="142"/>
      <c r="S32" s="122">
        <f>SUM(S33:S37)</f>
        <v>4</v>
      </c>
      <c r="T32" s="122">
        <f t="shared" si="3"/>
        <v>73</v>
      </c>
      <c r="U32" s="127">
        <f t="shared" si="2"/>
        <v>0.631578947368421</v>
      </c>
      <c r="V32" s="128">
        <f t="shared" si="4"/>
        <v>157</v>
      </c>
      <c r="W32" s="129">
        <f t="shared" si="5"/>
        <v>157</v>
      </c>
      <c r="X32" s="129">
        <f t="shared" si="10"/>
        <v>0</v>
      </c>
    </row>
    <row r="33" spans="1:24" s="90" customFormat="1" ht="13.5" customHeight="1">
      <c r="A33" s="124">
        <v>4.1</v>
      </c>
      <c r="B33" s="125" t="s">
        <v>71</v>
      </c>
      <c r="C33" s="27">
        <f t="shared" si="0"/>
        <v>47</v>
      </c>
      <c r="D33" s="27">
        <f t="shared" si="6"/>
        <v>47</v>
      </c>
      <c r="E33" s="133">
        <v>19</v>
      </c>
      <c r="F33" s="123">
        <v>28</v>
      </c>
      <c r="G33" s="123">
        <v>0</v>
      </c>
      <c r="H33" s="123">
        <v>0</v>
      </c>
      <c r="I33" s="27">
        <f t="shared" si="7"/>
        <v>47</v>
      </c>
      <c r="J33" s="27">
        <f t="shared" si="8"/>
        <v>40</v>
      </c>
      <c r="K33" s="27">
        <f t="shared" si="9"/>
        <v>22</v>
      </c>
      <c r="L33" s="123">
        <v>22</v>
      </c>
      <c r="M33" s="123">
        <v>0</v>
      </c>
      <c r="N33" s="123">
        <v>17</v>
      </c>
      <c r="O33" s="123">
        <v>0</v>
      </c>
      <c r="P33" s="123">
        <v>1</v>
      </c>
      <c r="Q33" s="134">
        <f>D33-G33-K33-N33-P33-R33-S33</f>
        <v>7</v>
      </c>
      <c r="R33" s="26"/>
      <c r="S33" s="123">
        <v>0</v>
      </c>
      <c r="T33" s="123">
        <f t="shared" si="3"/>
        <v>25</v>
      </c>
      <c r="U33" s="118">
        <f t="shared" si="2"/>
        <v>0.55</v>
      </c>
      <c r="V33" s="119">
        <f t="shared" si="4"/>
        <v>47</v>
      </c>
      <c r="W33" s="89">
        <f t="shared" si="5"/>
        <v>47</v>
      </c>
      <c r="X33" s="89">
        <f t="shared" si="10"/>
        <v>0</v>
      </c>
    </row>
    <row r="34" spans="1:24" s="90" customFormat="1" ht="13.5" customHeight="1">
      <c r="A34" s="124">
        <v>4.2</v>
      </c>
      <c r="B34" s="125" t="s">
        <v>72</v>
      </c>
      <c r="C34" s="27">
        <f t="shared" si="0"/>
        <v>37</v>
      </c>
      <c r="D34" s="27">
        <f t="shared" si="6"/>
        <v>37</v>
      </c>
      <c r="E34" s="133">
        <v>11</v>
      </c>
      <c r="F34" s="123">
        <v>26</v>
      </c>
      <c r="G34" s="123">
        <v>0</v>
      </c>
      <c r="H34" s="123">
        <v>0</v>
      </c>
      <c r="I34" s="27">
        <f t="shared" si="7"/>
        <v>37</v>
      </c>
      <c r="J34" s="27">
        <f t="shared" si="8"/>
        <v>29</v>
      </c>
      <c r="K34" s="27">
        <f t="shared" si="9"/>
        <v>22</v>
      </c>
      <c r="L34" s="123">
        <v>22</v>
      </c>
      <c r="M34" s="123">
        <v>0</v>
      </c>
      <c r="N34" s="123">
        <v>7</v>
      </c>
      <c r="O34" s="123">
        <v>0</v>
      </c>
      <c r="P34" s="123">
        <v>0</v>
      </c>
      <c r="Q34" s="134">
        <f>D34-G34-K34-N34-P34-R34-S34</f>
        <v>8</v>
      </c>
      <c r="R34" s="26"/>
      <c r="S34" s="123">
        <v>0</v>
      </c>
      <c r="T34" s="123">
        <f t="shared" si="3"/>
        <v>15</v>
      </c>
      <c r="U34" s="118">
        <f t="shared" si="2"/>
        <v>0.7586206896551724</v>
      </c>
      <c r="V34" s="119">
        <f t="shared" si="4"/>
        <v>37</v>
      </c>
      <c r="W34" s="89">
        <f t="shared" si="5"/>
        <v>37</v>
      </c>
      <c r="X34" s="89">
        <f t="shared" si="10"/>
        <v>0</v>
      </c>
    </row>
    <row r="35" spans="1:24" s="90" customFormat="1" ht="13.5" customHeight="1">
      <c r="A35" s="124">
        <v>4.3</v>
      </c>
      <c r="B35" s="125" t="s">
        <v>73</v>
      </c>
      <c r="C35" s="27">
        <f t="shared" si="0"/>
        <v>24</v>
      </c>
      <c r="D35" s="27">
        <f t="shared" si="6"/>
        <v>24</v>
      </c>
      <c r="E35" s="133">
        <v>9</v>
      </c>
      <c r="F35" s="123">
        <v>15</v>
      </c>
      <c r="G35" s="123">
        <v>0</v>
      </c>
      <c r="H35" s="123">
        <v>0</v>
      </c>
      <c r="I35" s="27">
        <f t="shared" si="7"/>
        <v>24</v>
      </c>
      <c r="J35" s="27">
        <f t="shared" si="8"/>
        <v>19</v>
      </c>
      <c r="K35" s="27">
        <f t="shared" si="9"/>
        <v>11</v>
      </c>
      <c r="L35" s="123">
        <v>11</v>
      </c>
      <c r="M35" s="123">
        <v>0</v>
      </c>
      <c r="N35" s="123">
        <v>8</v>
      </c>
      <c r="O35" s="123">
        <v>0</v>
      </c>
      <c r="P35" s="123">
        <v>0</v>
      </c>
      <c r="Q35" s="134">
        <f>D35-G35-K35-N35-P35-R35-S35</f>
        <v>5</v>
      </c>
      <c r="R35" s="26"/>
      <c r="S35" s="123">
        <v>0</v>
      </c>
      <c r="T35" s="123">
        <f t="shared" si="3"/>
        <v>13</v>
      </c>
      <c r="U35" s="118">
        <f t="shared" si="2"/>
        <v>0.5789473684210527</v>
      </c>
      <c r="V35" s="119">
        <f t="shared" si="4"/>
        <v>24</v>
      </c>
      <c r="W35" s="89">
        <f t="shared" si="5"/>
        <v>24</v>
      </c>
      <c r="X35" s="89">
        <f t="shared" si="10"/>
        <v>0</v>
      </c>
    </row>
    <row r="36" spans="1:24" s="90" customFormat="1" ht="13.5" customHeight="1">
      <c r="A36" s="124">
        <v>4.4</v>
      </c>
      <c r="B36" s="125" t="s">
        <v>74</v>
      </c>
      <c r="C36" s="27">
        <f t="shared" si="0"/>
        <v>33</v>
      </c>
      <c r="D36" s="27">
        <f t="shared" si="6"/>
        <v>33</v>
      </c>
      <c r="E36" s="133">
        <v>12</v>
      </c>
      <c r="F36" s="123">
        <v>21</v>
      </c>
      <c r="G36" s="123">
        <v>0</v>
      </c>
      <c r="H36" s="123">
        <v>0</v>
      </c>
      <c r="I36" s="27">
        <f t="shared" si="7"/>
        <v>33</v>
      </c>
      <c r="J36" s="27">
        <f t="shared" si="8"/>
        <v>29</v>
      </c>
      <c r="K36" s="27">
        <f t="shared" si="9"/>
        <v>17</v>
      </c>
      <c r="L36" s="123">
        <v>17</v>
      </c>
      <c r="M36" s="123">
        <v>0</v>
      </c>
      <c r="N36" s="123">
        <v>12</v>
      </c>
      <c r="O36" s="123">
        <v>0</v>
      </c>
      <c r="P36" s="123">
        <v>0</v>
      </c>
      <c r="Q36" s="134">
        <f>D36-G36-K36-N36-P36-R36-S36</f>
        <v>0</v>
      </c>
      <c r="R36" s="26"/>
      <c r="S36" s="123">
        <v>4</v>
      </c>
      <c r="T36" s="123">
        <f t="shared" si="3"/>
        <v>16</v>
      </c>
      <c r="U36" s="118">
        <f t="shared" si="2"/>
        <v>0.5862068965517241</v>
      </c>
      <c r="V36" s="119">
        <f t="shared" si="4"/>
        <v>33</v>
      </c>
      <c r="W36" s="89">
        <f t="shared" si="5"/>
        <v>33</v>
      </c>
      <c r="X36" s="89">
        <f t="shared" si="10"/>
        <v>0</v>
      </c>
    </row>
    <row r="37" spans="1:24" s="90" customFormat="1" ht="13.5" customHeight="1">
      <c r="A37" s="124">
        <v>4.5</v>
      </c>
      <c r="B37" s="125" t="s">
        <v>75</v>
      </c>
      <c r="C37" s="27">
        <f t="shared" si="0"/>
        <v>16</v>
      </c>
      <c r="D37" s="27">
        <f t="shared" si="6"/>
        <v>16</v>
      </c>
      <c r="E37" s="133">
        <v>0</v>
      </c>
      <c r="F37" s="123">
        <v>16</v>
      </c>
      <c r="G37" s="123">
        <v>0</v>
      </c>
      <c r="H37" s="123">
        <v>0</v>
      </c>
      <c r="I37" s="27">
        <f t="shared" si="7"/>
        <v>16</v>
      </c>
      <c r="J37" s="27">
        <f t="shared" si="8"/>
        <v>16</v>
      </c>
      <c r="K37" s="27">
        <f t="shared" si="9"/>
        <v>12</v>
      </c>
      <c r="L37" s="123">
        <v>12</v>
      </c>
      <c r="M37" s="123">
        <v>0</v>
      </c>
      <c r="N37" s="123">
        <v>4</v>
      </c>
      <c r="O37" s="123">
        <v>0</v>
      </c>
      <c r="P37" s="123">
        <v>0</v>
      </c>
      <c r="Q37" s="134">
        <f>D37-G37-K37-N37-P37-R37-S37</f>
        <v>0</v>
      </c>
      <c r="R37" s="26"/>
      <c r="S37" s="123">
        <v>0</v>
      </c>
      <c r="T37" s="123">
        <f t="shared" si="3"/>
        <v>4</v>
      </c>
      <c r="U37" s="118">
        <f t="shared" si="2"/>
        <v>0.75</v>
      </c>
      <c r="V37" s="119">
        <f t="shared" si="4"/>
        <v>16</v>
      </c>
      <c r="W37" s="89">
        <f t="shared" si="5"/>
        <v>16</v>
      </c>
      <c r="X37" s="89">
        <f t="shared" si="10"/>
        <v>0</v>
      </c>
    </row>
    <row r="38" spans="1:24" s="130" customFormat="1" ht="21" customHeight="1">
      <c r="A38" s="131">
        <v>5</v>
      </c>
      <c r="B38" s="121" t="s">
        <v>76</v>
      </c>
      <c r="C38" s="91">
        <f t="shared" si="0"/>
        <v>327</v>
      </c>
      <c r="D38" s="91">
        <f t="shared" si="6"/>
        <v>327</v>
      </c>
      <c r="E38" s="122">
        <f>SUM(E39:E42)</f>
        <v>176</v>
      </c>
      <c r="F38" s="122">
        <f>SUM(F39:F42)</f>
        <v>151</v>
      </c>
      <c r="G38" s="122">
        <f>SUM(G39:G42)</f>
        <v>1</v>
      </c>
      <c r="H38" s="122">
        <f>SUM(H39:H42)</f>
        <v>0</v>
      </c>
      <c r="I38" s="91">
        <f t="shared" si="7"/>
        <v>326</v>
      </c>
      <c r="J38" s="91">
        <f t="shared" si="8"/>
        <v>216</v>
      </c>
      <c r="K38" s="91">
        <f t="shared" si="9"/>
        <v>82</v>
      </c>
      <c r="L38" s="122">
        <f>SUM(L39:L42)</f>
        <v>74</v>
      </c>
      <c r="M38" s="122">
        <f>SUM(M39:M42)</f>
        <v>8</v>
      </c>
      <c r="N38" s="122">
        <f>SUM(N39:N42)</f>
        <v>134</v>
      </c>
      <c r="O38" s="122">
        <f>SUM(O39:O42)</f>
        <v>0</v>
      </c>
      <c r="P38" s="122">
        <f>SUM(P39:P42)</f>
        <v>0</v>
      </c>
      <c r="Q38" s="122">
        <f>I38-J38-R38-S38</f>
        <v>110</v>
      </c>
      <c r="R38" s="142"/>
      <c r="S38" s="122">
        <f>SUM(S39:S42)</f>
        <v>0</v>
      </c>
      <c r="T38" s="122">
        <f t="shared" si="3"/>
        <v>244</v>
      </c>
      <c r="U38" s="127">
        <f t="shared" si="2"/>
        <v>0.37962962962962965</v>
      </c>
      <c r="V38" s="128">
        <f t="shared" si="4"/>
        <v>326</v>
      </c>
      <c r="W38" s="129">
        <f t="shared" si="5"/>
        <v>326</v>
      </c>
      <c r="X38" s="129">
        <f t="shared" si="10"/>
        <v>0</v>
      </c>
    </row>
    <row r="39" spans="1:24" s="90" customFormat="1" ht="18.75" customHeight="1">
      <c r="A39" s="124">
        <v>5.1</v>
      </c>
      <c r="B39" s="125" t="s">
        <v>77</v>
      </c>
      <c r="C39" s="27">
        <f t="shared" si="0"/>
        <v>99</v>
      </c>
      <c r="D39" s="27">
        <f t="shared" si="6"/>
        <v>99</v>
      </c>
      <c r="E39" s="26">
        <v>56</v>
      </c>
      <c r="F39" s="123">
        <v>43</v>
      </c>
      <c r="G39" s="123">
        <v>1</v>
      </c>
      <c r="H39" s="123">
        <v>0</v>
      </c>
      <c r="I39" s="27">
        <f t="shared" si="7"/>
        <v>98</v>
      </c>
      <c r="J39" s="27">
        <f t="shared" si="8"/>
        <v>62</v>
      </c>
      <c r="K39" s="27">
        <f t="shared" si="9"/>
        <v>34</v>
      </c>
      <c r="L39" s="123">
        <v>28</v>
      </c>
      <c r="M39" s="123">
        <v>6</v>
      </c>
      <c r="N39" s="123">
        <v>28</v>
      </c>
      <c r="O39" s="123">
        <v>0</v>
      </c>
      <c r="P39" s="123">
        <v>0</v>
      </c>
      <c r="Q39" s="132">
        <v>36</v>
      </c>
      <c r="R39" s="26"/>
      <c r="S39" s="123">
        <v>0</v>
      </c>
      <c r="T39" s="122">
        <f t="shared" si="3"/>
        <v>64</v>
      </c>
      <c r="U39" s="118">
        <f t="shared" si="2"/>
        <v>0.5483870967741935</v>
      </c>
      <c r="V39" s="119">
        <f t="shared" si="4"/>
        <v>98</v>
      </c>
      <c r="W39" s="89">
        <f t="shared" si="5"/>
        <v>98</v>
      </c>
      <c r="X39" s="89">
        <f t="shared" si="10"/>
        <v>0</v>
      </c>
    </row>
    <row r="40" spans="1:24" s="90" customFormat="1" ht="16.5" customHeight="1">
      <c r="A40" s="124">
        <v>5.2</v>
      </c>
      <c r="B40" s="125" t="s">
        <v>78</v>
      </c>
      <c r="C40" s="27">
        <f>D40</f>
        <v>17</v>
      </c>
      <c r="D40" s="27">
        <f>F40+E40</f>
        <v>17</v>
      </c>
      <c r="E40" s="26">
        <v>2</v>
      </c>
      <c r="F40" s="123">
        <v>15</v>
      </c>
      <c r="G40" s="123">
        <v>0</v>
      </c>
      <c r="H40" s="123">
        <v>0</v>
      </c>
      <c r="I40" s="27">
        <f>D40-G40-H40</f>
        <v>17</v>
      </c>
      <c r="J40" s="27">
        <f>L40+M40+N40+P40</f>
        <v>17</v>
      </c>
      <c r="K40" s="27">
        <f>M40+L40</f>
        <v>6</v>
      </c>
      <c r="L40" s="123">
        <v>6</v>
      </c>
      <c r="M40" s="123">
        <v>0</v>
      </c>
      <c r="N40" s="123">
        <v>11</v>
      </c>
      <c r="O40" s="123">
        <v>0</v>
      </c>
      <c r="P40" s="123">
        <v>0</v>
      </c>
      <c r="Q40" s="132">
        <v>0</v>
      </c>
      <c r="R40" s="26"/>
      <c r="S40" s="123">
        <v>0</v>
      </c>
      <c r="T40" s="123">
        <f>N40+O40+P40+Q40+R40+S40</f>
        <v>11</v>
      </c>
      <c r="U40" s="118">
        <f>IF(J40&lt;&gt;0,K40/J40,"")</f>
        <v>0.35294117647058826</v>
      </c>
      <c r="V40" s="119">
        <f>IF(I40=C40-G40-H40,I40,"KT lai")</f>
        <v>17</v>
      </c>
      <c r="W40" s="89">
        <f>J40+Q40+S40</f>
        <v>17</v>
      </c>
      <c r="X40" s="89">
        <f t="shared" si="10"/>
        <v>0</v>
      </c>
    </row>
    <row r="41" spans="1:24" s="90" customFormat="1" ht="18.75" customHeight="1">
      <c r="A41" s="124">
        <v>5.3</v>
      </c>
      <c r="B41" s="125" t="s">
        <v>79</v>
      </c>
      <c r="C41" s="27">
        <f>D41</f>
        <v>104</v>
      </c>
      <c r="D41" s="27">
        <f t="shared" si="6"/>
        <v>104</v>
      </c>
      <c r="E41" s="26">
        <v>58</v>
      </c>
      <c r="F41" s="123">
        <v>46</v>
      </c>
      <c r="G41" s="123">
        <v>0</v>
      </c>
      <c r="H41" s="123">
        <v>0</v>
      </c>
      <c r="I41" s="27"/>
      <c r="J41" s="27"/>
      <c r="K41" s="27"/>
      <c r="L41" s="123">
        <v>24</v>
      </c>
      <c r="M41" s="123">
        <v>1</v>
      </c>
      <c r="N41" s="123">
        <v>45</v>
      </c>
      <c r="O41" s="123">
        <v>0</v>
      </c>
      <c r="P41" s="123">
        <v>0</v>
      </c>
      <c r="Q41" s="132">
        <v>34</v>
      </c>
      <c r="R41" s="26"/>
      <c r="S41" s="123">
        <v>0</v>
      </c>
      <c r="T41" s="123">
        <f>N41+O41+P41+Q41+R41+S41</f>
        <v>79</v>
      </c>
      <c r="U41" s="118">
        <f>IF(J41&lt;&gt;0,K41/J41,"")</f>
      </c>
      <c r="V41" s="119"/>
      <c r="W41" s="89"/>
      <c r="X41" s="89">
        <f t="shared" si="10"/>
        <v>0</v>
      </c>
    </row>
    <row r="42" spans="1:24" s="90" customFormat="1" ht="16.5" customHeight="1">
      <c r="A42" s="124">
        <v>5.4</v>
      </c>
      <c r="B42" s="125" t="s">
        <v>80</v>
      </c>
      <c r="C42" s="27">
        <f>D42</f>
        <v>107</v>
      </c>
      <c r="D42" s="27">
        <f t="shared" si="6"/>
        <v>107</v>
      </c>
      <c r="E42" s="26">
        <v>60</v>
      </c>
      <c r="F42" s="123">
        <v>47</v>
      </c>
      <c r="G42" s="123">
        <v>0</v>
      </c>
      <c r="H42" s="123">
        <v>0</v>
      </c>
      <c r="I42" s="27">
        <f t="shared" si="7"/>
        <v>107</v>
      </c>
      <c r="J42" s="27">
        <f t="shared" si="8"/>
        <v>67</v>
      </c>
      <c r="K42" s="27">
        <f t="shared" si="9"/>
        <v>17</v>
      </c>
      <c r="L42" s="123">
        <v>16</v>
      </c>
      <c r="M42" s="123">
        <v>1</v>
      </c>
      <c r="N42" s="123">
        <v>50</v>
      </c>
      <c r="O42" s="123">
        <v>0</v>
      </c>
      <c r="P42" s="123">
        <v>0</v>
      </c>
      <c r="Q42" s="132">
        <v>40</v>
      </c>
      <c r="R42" s="26"/>
      <c r="S42" s="123">
        <v>0</v>
      </c>
      <c r="T42" s="123">
        <f>N42+O42+P42+Q42+R42+S42</f>
        <v>90</v>
      </c>
      <c r="U42" s="118">
        <f>IF(J42&lt;&gt;0,K42/J42,"")</f>
        <v>0.2537313432835821</v>
      </c>
      <c r="V42" s="119">
        <f t="shared" si="4"/>
        <v>107</v>
      </c>
      <c r="W42" s="89">
        <f t="shared" si="5"/>
        <v>107</v>
      </c>
      <c r="X42" s="89">
        <f t="shared" si="10"/>
        <v>0</v>
      </c>
    </row>
    <row r="43" spans="1:24" s="130" customFormat="1" ht="24" customHeight="1">
      <c r="A43" s="131">
        <v>6</v>
      </c>
      <c r="B43" s="121" t="s">
        <v>81</v>
      </c>
      <c r="C43" s="91">
        <f t="shared" si="0"/>
        <v>450</v>
      </c>
      <c r="D43" s="91">
        <f t="shared" si="6"/>
        <v>450</v>
      </c>
      <c r="E43" s="122">
        <f>SUM(E44:E48)</f>
        <v>216</v>
      </c>
      <c r="F43" s="122">
        <f>SUM(F44:F48)</f>
        <v>234</v>
      </c>
      <c r="G43" s="122">
        <f>SUM(G44:G48)</f>
        <v>0</v>
      </c>
      <c r="H43" s="122">
        <f>SUM(H44:H48)</f>
        <v>0</v>
      </c>
      <c r="I43" s="91">
        <f t="shared" si="7"/>
        <v>450</v>
      </c>
      <c r="J43" s="91">
        <f t="shared" si="8"/>
        <v>355</v>
      </c>
      <c r="K43" s="91">
        <f t="shared" si="9"/>
        <v>169</v>
      </c>
      <c r="L43" s="122">
        <f>SUM(L44:L48)</f>
        <v>159</v>
      </c>
      <c r="M43" s="122">
        <f>SUM(M44:M48)</f>
        <v>10</v>
      </c>
      <c r="N43" s="122">
        <f>SUM(N44:N48)</f>
        <v>186</v>
      </c>
      <c r="O43" s="122">
        <f>SUM(O44:O48)</f>
        <v>0</v>
      </c>
      <c r="P43" s="122">
        <f>SUM(P44:P48)</f>
        <v>0</v>
      </c>
      <c r="Q43" s="122">
        <f>I43-J43-R43-S43</f>
        <v>95</v>
      </c>
      <c r="R43" s="142"/>
      <c r="S43" s="122">
        <f>SUM(S44:S48)</f>
        <v>0</v>
      </c>
      <c r="T43" s="122">
        <f t="shared" si="3"/>
        <v>281</v>
      </c>
      <c r="U43" s="127">
        <f t="shared" si="2"/>
        <v>0.476056338028169</v>
      </c>
      <c r="V43" s="128">
        <f t="shared" si="4"/>
        <v>450</v>
      </c>
      <c r="W43" s="129">
        <f t="shared" si="5"/>
        <v>450</v>
      </c>
      <c r="X43" s="129">
        <f t="shared" si="10"/>
        <v>0</v>
      </c>
    </row>
    <row r="44" spans="1:24" s="90" customFormat="1" ht="13.5" customHeight="1">
      <c r="A44" s="124">
        <v>6.1</v>
      </c>
      <c r="B44" s="125" t="s">
        <v>82</v>
      </c>
      <c r="C44" s="27">
        <f t="shared" si="0"/>
        <v>106</v>
      </c>
      <c r="D44" s="27">
        <f t="shared" si="6"/>
        <v>106</v>
      </c>
      <c r="E44" s="135">
        <v>50</v>
      </c>
      <c r="F44" s="123">
        <v>56</v>
      </c>
      <c r="G44" s="123">
        <v>0</v>
      </c>
      <c r="H44" s="123">
        <v>0</v>
      </c>
      <c r="I44" s="27">
        <f t="shared" si="7"/>
        <v>106</v>
      </c>
      <c r="J44" s="27">
        <f t="shared" si="8"/>
        <v>83</v>
      </c>
      <c r="K44" s="27">
        <f t="shared" si="9"/>
        <v>30</v>
      </c>
      <c r="L44" s="123">
        <v>28</v>
      </c>
      <c r="M44" s="123">
        <v>2</v>
      </c>
      <c r="N44" s="123">
        <v>53</v>
      </c>
      <c r="O44" s="123">
        <v>0</v>
      </c>
      <c r="P44" s="123">
        <v>0</v>
      </c>
      <c r="Q44" s="135">
        <v>23</v>
      </c>
      <c r="R44" s="26"/>
      <c r="S44" s="123">
        <v>0</v>
      </c>
      <c r="T44" s="123">
        <f t="shared" si="3"/>
        <v>76</v>
      </c>
      <c r="U44" s="118">
        <f t="shared" si="2"/>
        <v>0.3614457831325301</v>
      </c>
      <c r="V44" s="119">
        <f t="shared" si="4"/>
        <v>106</v>
      </c>
      <c r="W44" s="89">
        <f t="shared" si="5"/>
        <v>106</v>
      </c>
      <c r="X44" s="89">
        <f t="shared" si="10"/>
        <v>0</v>
      </c>
    </row>
    <row r="45" spans="1:24" s="90" customFormat="1" ht="13.5" customHeight="1">
      <c r="A45" s="124">
        <v>6.2</v>
      </c>
      <c r="B45" s="125" t="s">
        <v>83</v>
      </c>
      <c r="C45" s="27">
        <f t="shared" si="0"/>
        <v>80</v>
      </c>
      <c r="D45" s="27">
        <f t="shared" si="6"/>
        <v>80</v>
      </c>
      <c r="E45" s="135">
        <v>40</v>
      </c>
      <c r="F45" s="123">
        <v>40</v>
      </c>
      <c r="G45" s="123">
        <v>0</v>
      </c>
      <c r="H45" s="123">
        <v>0</v>
      </c>
      <c r="I45" s="27">
        <f t="shared" si="7"/>
        <v>80</v>
      </c>
      <c r="J45" s="27">
        <f t="shared" si="8"/>
        <v>60</v>
      </c>
      <c r="K45" s="27">
        <f t="shared" si="9"/>
        <v>33</v>
      </c>
      <c r="L45" s="123">
        <v>31</v>
      </c>
      <c r="M45" s="123">
        <v>2</v>
      </c>
      <c r="N45" s="123">
        <v>27</v>
      </c>
      <c r="O45" s="123">
        <v>0</v>
      </c>
      <c r="P45" s="123">
        <v>0</v>
      </c>
      <c r="Q45" s="135">
        <v>20</v>
      </c>
      <c r="R45" s="26"/>
      <c r="S45" s="123">
        <v>0</v>
      </c>
      <c r="T45" s="123">
        <f t="shared" si="3"/>
        <v>47</v>
      </c>
      <c r="U45" s="118">
        <f t="shared" si="2"/>
        <v>0.55</v>
      </c>
      <c r="V45" s="119">
        <f t="shared" si="4"/>
        <v>80</v>
      </c>
      <c r="W45" s="89">
        <f t="shared" si="5"/>
        <v>80</v>
      </c>
      <c r="X45" s="89">
        <f t="shared" si="10"/>
        <v>0</v>
      </c>
    </row>
    <row r="46" spans="1:24" s="90" customFormat="1" ht="13.5" customHeight="1">
      <c r="A46" s="124">
        <v>6.3</v>
      </c>
      <c r="B46" s="125" t="s">
        <v>84</v>
      </c>
      <c r="C46" s="27">
        <f t="shared" si="0"/>
        <v>120</v>
      </c>
      <c r="D46" s="27">
        <f t="shared" si="6"/>
        <v>120</v>
      </c>
      <c r="E46" s="135">
        <v>58</v>
      </c>
      <c r="F46" s="123">
        <v>62</v>
      </c>
      <c r="G46" s="123">
        <v>0</v>
      </c>
      <c r="H46" s="123">
        <v>0</v>
      </c>
      <c r="I46" s="27">
        <f t="shared" si="7"/>
        <v>120</v>
      </c>
      <c r="J46" s="27">
        <f t="shared" si="8"/>
        <v>102</v>
      </c>
      <c r="K46" s="27">
        <f t="shared" si="9"/>
        <v>45</v>
      </c>
      <c r="L46" s="123">
        <v>43</v>
      </c>
      <c r="M46" s="123">
        <v>2</v>
      </c>
      <c r="N46" s="123">
        <v>57</v>
      </c>
      <c r="O46" s="123">
        <v>0</v>
      </c>
      <c r="P46" s="123">
        <v>0</v>
      </c>
      <c r="Q46" s="135">
        <v>18</v>
      </c>
      <c r="R46" s="26"/>
      <c r="S46" s="123">
        <v>0</v>
      </c>
      <c r="T46" s="123">
        <f t="shared" si="3"/>
        <v>75</v>
      </c>
      <c r="U46" s="118">
        <f t="shared" si="2"/>
        <v>0.4411764705882353</v>
      </c>
      <c r="V46" s="119">
        <f t="shared" si="4"/>
        <v>120</v>
      </c>
      <c r="W46" s="89">
        <f t="shared" si="5"/>
        <v>120</v>
      </c>
      <c r="X46" s="89">
        <f t="shared" si="10"/>
        <v>0</v>
      </c>
    </row>
    <row r="47" spans="1:24" s="90" customFormat="1" ht="13.5" customHeight="1">
      <c r="A47" s="124">
        <v>6.4</v>
      </c>
      <c r="B47" s="125" t="s">
        <v>85</v>
      </c>
      <c r="C47" s="27">
        <f t="shared" si="0"/>
        <v>139</v>
      </c>
      <c r="D47" s="27">
        <f t="shared" si="6"/>
        <v>139</v>
      </c>
      <c r="E47" s="135">
        <v>68</v>
      </c>
      <c r="F47" s="123">
        <v>71</v>
      </c>
      <c r="G47" s="123">
        <v>0</v>
      </c>
      <c r="H47" s="123">
        <v>0</v>
      </c>
      <c r="I47" s="27">
        <f t="shared" si="7"/>
        <v>139</v>
      </c>
      <c r="J47" s="27">
        <f t="shared" si="8"/>
        <v>105</v>
      </c>
      <c r="K47" s="27">
        <f t="shared" si="9"/>
        <v>58</v>
      </c>
      <c r="L47" s="123">
        <v>54</v>
      </c>
      <c r="M47" s="123">
        <v>4</v>
      </c>
      <c r="N47" s="123">
        <v>47</v>
      </c>
      <c r="O47" s="123">
        <v>0</v>
      </c>
      <c r="P47" s="123">
        <v>0</v>
      </c>
      <c r="Q47" s="135">
        <v>34</v>
      </c>
      <c r="R47" s="26"/>
      <c r="S47" s="123">
        <v>0</v>
      </c>
      <c r="T47" s="123">
        <f t="shared" si="3"/>
        <v>81</v>
      </c>
      <c r="U47" s="118">
        <f t="shared" si="2"/>
        <v>0.5523809523809524</v>
      </c>
      <c r="V47" s="119">
        <f t="shared" si="4"/>
        <v>139</v>
      </c>
      <c r="W47" s="89">
        <f t="shared" si="5"/>
        <v>139</v>
      </c>
      <c r="X47" s="89">
        <f t="shared" si="10"/>
        <v>0</v>
      </c>
    </row>
    <row r="48" spans="1:24" s="90" customFormat="1" ht="13.5" customHeight="1">
      <c r="A48" s="124">
        <v>6.5</v>
      </c>
      <c r="B48" s="125" t="s">
        <v>86</v>
      </c>
      <c r="C48" s="27">
        <f t="shared" si="0"/>
        <v>5</v>
      </c>
      <c r="D48" s="27">
        <f t="shared" si="6"/>
        <v>5</v>
      </c>
      <c r="E48" s="136">
        <v>0</v>
      </c>
      <c r="F48" s="123">
        <v>5</v>
      </c>
      <c r="G48" s="123">
        <v>0</v>
      </c>
      <c r="H48" s="123">
        <v>0</v>
      </c>
      <c r="I48" s="27">
        <f t="shared" si="7"/>
        <v>5</v>
      </c>
      <c r="J48" s="27">
        <f t="shared" si="8"/>
        <v>5</v>
      </c>
      <c r="K48" s="27">
        <f t="shared" si="9"/>
        <v>3</v>
      </c>
      <c r="L48" s="123">
        <v>3</v>
      </c>
      <c r="M48" s="123">
        <v>0</v>
      </c>
      <c r="N48" s="123">
        <v>2</v>
      </c>
      <c r="O48" s="123">
        <v>0</v>
      </c>
      <c r="P48" s="123">
        <v>0</v>
      </c>
      <c r="Q48" s="136">
        <v>0</v>
      </c>
      <c r="R48" s="26"/>
      <c r="S48" s="123">
        <v>0</v>
      </c>
      <c r="T48" s="123">
        <f t="shared" si="3"/>
        <v>2</v>
      </c>
      <c r="U48" s="118">
        <f t="shared" si="2"/>
        <v>0.6</v>
      </c>
      <c r="V48" s="119">
        <f t="shared" si="4"/>
        <v>5</v>
      </c>
      <c r="W48" s="89">
        <f t="shared" si="5"/>
        <v>5</v>
      </c>
      <c r="X48" s="89">
        <f t="shared" si="10"/>
        <v>0</v>
      </c>
    </row>
    <row r="49" spans="1:24" s="138" customFormat="1" ht="18" customHeight="1">
      <c r="A49" s="28"/>
      <c r="B49" s="29"/>
      <c r="C49" s="29"/>
      <c r="D49" s="29"/>
      <c r="E49" s="29"/>
      <c r="F49" s="30"/>
      <c r="G49" s="30"/>
      <c r="H49" s="30"/>
      <c r="I49" s="31"/>
      <c r="J49" s="31"/>
      <c r="K49" s="31"/>
      <c r="L49" s="32"/>
      <c r="M49" s="32"/>
      <c r="N49" s="33" t="s">
        <v>95</v>
      </c>
      <c r="O49" s="34"/>
      <c r="P49" s="34"/>
      <c r="Q49" s="34"/>
      <c r="R49" s="34"/>
      <c r="S49" s="34"/>
      <c r="T49" s="34"/>
      <c r="U49" s="34"/>
      <c r="V49" s="137"/>
      <c r="W49" s="137"/>
      <c r="X49" s="137"/>
    </row>
    <row r="50" spans="1:24" s="10" customFormat="1" ht="15.75" customHeight="1">
      <c r="A50" s="35" t="s">
        <v>87</v>
      </c>
      <c r="B50" s="36"/>
      <c r="C50" s="36"/>
      <c r="D50" s="36"/>
      <c r="E50" s="36"/>
      <c r="F50" s="37"/>
      <c r="G50" s="37"/>
      <c r="H50" s="37"/>
      <c r="I50" s="38"/>
      <c r="J50" s="38"/>
      <c r="K50" s="38"/>
      <c r="L50" s="39"/>
      <c r="M50" s="39"/>
      <c r="N50" s="139" t="str">
        <f>'[1]TT'!C5</f>
        <v>CỤC TRƯỞNG</v>
      </c>
      <c r="O50" s="139"/>
      <c r="P50" s="139"/>
      <c r="Q50" s="139"/>
      <c r="R50" s="139"/>
      <c r="S50" s="139"/>
      <c r="T50" s="139"/>
      <c r="U50" s="139"/>
      <c r="V50" s="95"/>
      <c r="W50" s="95"/>
      <c r="X50" s="95"/>
    </row>
    <row r="51" spans="1:24" s="10" customFormat="1" ht="57.75" customHeight="1">
      <c r="A51" s="41"/>
      <c r="B51" s="37"/>
      <c r="C51" s="41"/>
      <c r="D51" s="41"/>
      <c r="E51" s="41"/>
      <c r="F51" s="42"/>
      <c r="G51" s="42"/>
      <c r="H51" s="42"/>
      <c r="I51" s="38"/>
      <c r="J51" s="38"/>
      <c r="K51" s="38"/>
      <c r="L51" s="39"/>
      <c r="M51" s="39"/>
      <c r="N51" s="39"/>
      <c r="O51" s="39"/>
      <c r="P51" s="43"/>
      <c r="Q51" s="84"/>
      <c r="R51" s="42"/>
      <c r="S51" s="38"/>
      <c r="T51" s="44"/>
      <c r="U51" s="44"/>
      <c r="V51" s="95"/>
      <c r="W51" s="95"/>
      <c r="X51" s="95"/>
    </row>
    <row r="52" spans="1:24" s="10" customFormat="1" ht="15.75" customHeight="1">
      <c r="A52" s="45" t="str">
        <f>'[1]TT'!C6</f>
        <v>TRẦN ĐỨC TOẢN</v>
      </c>
      <c r="B52" s="45"/>
      <c r="C52" s="45"/>
      <c r="D52" s="45"/>
      <c r="E52" s="45"/>
      <c r="F52" s="46" t="s">
        <v>45</v>
      </c>
      <c r="G52" s="46"/>
      <c r="H52" s="46"/>
      <c r="I52" s="46"/>
      <c r="J52" s="46"/>
      <c r="K52" s="46"/>
      <c r="L52" s="47"/>
      <c r="M52" s="47"/>
      <c r="N52" s="48" t="s">
        <v>88</v>
      </c>
      <c r="O52" s="48"/>
      <c r="P52" s="48"/>
      <c r="Q52" s="48"/>
      <c r="R52" s="48"/>
      <c r="S52" s="48"/>
      <c r="T52" s="48"/>
      <c r="U52" s="48"/>
      <c r="V52" s="95"/>
      <c r="W52" s="95"/>
      <c r="X52" s="95"/>
    </row>
    <row r="53" spans="1:24" s="10" customFormat="1" ht="15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7"/>
      <c r="M53" s="47"/>
      <c r="N53" s="49"/>
      <c r="O53" s="49"/>
      <c r="P53" s="49"/>
      <c r="Q53" s="50"/>
      <c r="R53" s="50"/>
      <c r="S53" s="50"/>
      <c r="T53" s="50"/>
      <c r="U53" s="50"/>
      <c r="V53" s="95"/>
      <c r="W53" s="95"/>
      <c r="X53" s="95"/>
    </row>
    <row r="54" spans="2:24" s="10" customFormat="1" ht="15.75">
      <c r="B54" s="140"/>
      <c r="L54" s="141"/>
      <c r="M54" s="141"/>
      <c r="N54" s="11"/>
      <c r="O54" s="11"/>
      <c r="P54" s="11"/>
      <c r="Q54" s="55"/>
      <c r="R54" s="55"/>
      <c r="S54" s="55"/>
      <c r="T54" s="55"/>
      <c r="U54" s="55"/>
      <c r="V54" s="95"/>
      <c r="W54" s="95"/>
      <c r="X54" s="95"/>
    </row>
    <row r="55" spans="2:24" s="10" customFormat="1" ht="15.75">
      <c r="B55" s="140"/>
      <c r="L55" s="141"/>
      <c r="M55" s="141"/>
      <c r="N55" s="11"/>
      <c r="O55" s="11"/>
      <c r="P55" s="11"/>
      <c r="Q55" s="55"/>
      <c r="R55" s="55"/>
      <c r="S55" s="55"/>
      <c r="T55" s="55"/>
      <c r="U55" s="55"/>
      <c r="V55" s="95"/>
      <c r="W55" s="95"/>
      <c r="X55" s="95"/>
    </row>
  </sheetData>
  <sheetProtection formatCells="0" formatColumns="0" formatRows="0" insertRows="0" deleteRows="0"/>
  <mergeCells count="35">
    <mergeCell ref="A52:E52"/>
    <mergeCell ref="N52:U52"/>
    <mergeCell ref="A8:B8"/>
    <mergeCell ref="A9:B9"/>
    <mergeCell ref="A49:E49"/>
    <mergeCell ref="N49:U49"/>
    <mergeCell ref="A50:E50"/>
    <mergeCell ref="N50:U50"/>
    <mergeCell ref="R4:R7"/>
    <mergeCell ref="S4:S7"/>
    <mergeCell ref="K5:K7"/>
    <mergeCell ref="L5:M6"/>
    <mergeCell ref="N5:N7"/>
    <mergeCell ref="O5:O7"/>
    <mergeCell ref="P5:P7"/>
    <mergeCell ref="H3:H7"/>
    <mergeCell ref="I3:I7"/>
    <mergeCell ref="J3:S3"/>
    <mergeCell ref="T3:T7"/>
    <mergeCell ref="U3:U7"/>
    <mergeCell ref="E4:E7"/>
    <mergeCell ref="F4:F7"/>
    <mergeCell ref="J4:J7"/>
    <mergeCell ref="K4:P4"/>
    <mergeCell ref="Q4:Q7"/>
    <mergeCell ref="A1:D1"/>
    <mergeCell ref="E1:O1"/>
    <mergeCell ref="P1:U1"/>
    <mergeCell ref="P2:U2"/>
    <mergeCell ref="A3:A7"/>
    <mergeCell ref="B3:B7"/>
    <mergeCell ref="C3:C7"/>
    <mergeCell ref="D3:D7"/>
    <mergeCell ref="E3:F3"/>
    <mergeCell ref="G3:G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52"/>
  <sheetViews>
    <sheetView view="pageBreakPreview" zoomScale="85" zoomScaleSheetLayoutView="85" zoomScalePageLayoutView="0" workbookViewId="0" topLeftCell="C1">
      <selection activeCell="V1" sqref="V1:W16384"/>
    </sheetView>
  </sheetViews>
  <sheetFormatPr defaultColWidth="9.00390625" defaultRowHeight="15.75"/>
  <cols>
    <col min="1" max="1" width="3.50390625" style="5" customWidth="1"/>
    <col min="2" max="2" width="21.00390625" style="5" customWidth="1"/>
    <col min="3" max="3" width="11.75390625" style="5" customWidth="1"/>
    <col min="4" max="4" width="11.50390625" style="5" customWidth="1"/>
    <col min="5" max="5" width="10.50390625" style="5" customWidth="1"/>
    <col min="6" max="6" width="8.875" style="5" customWidth="1"/>
    <col min="7" max="7" width="5.875" style="5" customWidth="1"/>
    <col min="8" max="8" width="12.125" style="5" customWidth="1"/>
    <col min="9" max="9" width="10.875" style="5" customWidth="1"/>
    <col min="10" max="10" width="9.625" style="5" customWidth="1"/>
    <col min="11" max="11" width="10.125" style="5" customWidth="1"/>
    <col min="12" max="12" width="8.875" style="5" customWidth="1"/>
    <col min="13" max="13" width="6.75390625" style="56" customWidth="1"/>
    <col min="14" max="14" width="10.875" style="56" customWidth="1"/>
    <col min="15" max="15" width="7.25390625" style="56" customWidth="1"/>
    <col min="16" max="16" width="8.50390625" style="56" customWidth="1"/>
    <col min="17" max="17" width="11.25390625" style="56" customWidth="1"/>
    <col min="18" max="18" width="6.00390625" style="56" customWidth="1"/>
    <col min="19" max="19" width="8.875" style="56" customWidth="1"/>
    <col min="20" max="20" width="10.50390625" style="56" customWidth="1"/>
    <col min="21" max="21" width="7.25390625" style="56" customWidth="1"/>
    <col min="22" max="22" width="15.75390625" style="52" hidden="1" customWidth="1"/>
    <col min="23" max="23" width="14.875" style="4" hidden="1" customWidth="1"/>
    <col min="24" max="24" width="13.00390625" style="4" customWidth="1"/>
    <col min="25" max="16384" width="9.00390625" style="5" customWidth="1"/>
  </cols>
  <sheetData>
    <row r="1" spans="1:21" ht="69" customHeight="1">
      <c r="A1" s="57" t="s">
        <v>89</v>
      </c>
      <c r="B1" s="57"/>
      <c r="C1" s="57"/>
      <c r="D1" s="57"/>
      <c r="E1" s="58" t="s">
        <v>96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9" t="str">
        <f>'[1]TT'!C2</f>
        <v>Đơn vị  báo cáo: 
Đơn vị nhận báo cáo: </v>
      </c>
      <c r="Q1" s="59"/>
      <c r="R1" s="59"/>
      <c r="S1" s="59"/>
      <c r="T1" s="59"/>
      <c r="U1" s="59"/>
    </row>
    <row r="2" spans="1:21" ht="17.25" customHeight="1">
      <c r="A2" s="6"/>
      <c r="B2" s="10"/>
      <c r="C2" s="60"/>
      <c r="D2" s="60"/>
      <c r="E2" s="60"/>
      <c r="F2" s="10"/>
      <c r="G2" s="10"/>
      <c r="H2" s="61"/>
      <c r="I2" s="62">
        <f>COUNTBLANK(D10:U48)</f>
        <v>5</v>
      </c>
      <c r="J2" s="63">
        <f>COUNTA(D10:U48)</f>
        <v>697</v>
      </c>
      <c r="K2" s="63">
        <f>I2+J2</f>
        <v>702</v>
      </c>
      <c r="L2" s="63"/>
      <c r="M2" s="64"/>
      <c r="N2" s="55"/>
      <c r="O2" s="55"/>
      <c r="P2" s="12" t="s">
        <v>90</v>
      </c>
      <c r="Q2" s="12"/>
      <c r="R2" s="12"/>
      <c r="S2" s="12"/>
      <c r="T2" s="12"/>
      <c r="U2" s="12"/>
    </row>
    <row r="3" spans="1:24" s="15" customFormat="1" ht="15.75" customHeight="1">
      <c r="A3" s="65" t="s">
        <v>2</v>
      </c>
      <c r="B3" s="65" t="s">
        <v>3</v>
      </c>
      <c r="C3" s="66" t="s">
        <v>5</v>
      </c>
      <c r="D3" s="67" t="s">
        <v>6</v>
      </c>
      <c r="E3" s="67"/>
      <c r="F3" s="68" t="s">
        <v>7</v>
      </c>
      <c r="G3" s="69" t="s">
        <v>91</v>
      </c>
      <c r="H3" s="68" t="s">
        <v>9</v>
      </c>
      <c r="I3" s="70" t="s">
        <v>6</v>
      </c>
      <c r="J3" s="71"/>
      <c r="K3" s="71"/>
      <c r="L3" s="71"/>
      <c r="M3" s="71"/>
      <c r="N3" s="71"/>
      <c r="O3" s="71"/>
      <c r="P3" s="71"/>
      <c r="Q3" s="71"/>
      <c r="R3" s="71"/>
      <c r="S3" s="71"/>
      <c r="T3" s="72" t="s">
        <v>10</v>
      </c>
      <c r="U3" s="73" t="s">
        <v>11</v>
      </c>
      <c r="V3" s="74"/>
      <c r="W3" s="14"/>
      <c r="X3" s="14"/>
    </row>
    <row r="4" spans="1:24" s="18" customFormat="1" ht="15.75" customHeight="1">
      <c r="A4" s="75"/>
      <c r="B4" s="75"/>
      <c r="C4" s="66"/>
      <c r="D4" s="67" t="s">
        <v>12</v>
      </c>
      <c r="E4" s="67" t="s">
        <v>13</v>
      </c>
      <c r="F4" s="68"/>
      <c r="G4" s="69"/>
      <c r="H4" s="68"/>
      <c r="I4" s="68" t="s">
        <v>14</v>
      </c>
      <c r="J4" s="67" t="s">
        <v>6</v>
      </c>
      <c r="K4" s="67"/>
      <c r="L4" s="67"/>
      <c r="M4" s="67"/>
      <c r="N4" s="67"/>
      <c r="O4" s="67"/>
      <c r="P4" s="67"/>
      <c r="Q4" s="69" t="s">
        <v>15</v>
      </c>
      <c r="R4" s="68" t="s">
        <v>16</v>
      </c>
      <c r="S4" s="76" t="s">
        <v>17</v>
      </c>
      <c r="T4" s="77"/>
      <c r="U4" s="78"/>
      <c r="V4" s="79"/>
      <c r="W4" s="17"/>
      <c r="X4" s="17"/>
    </row>
    <row r="5" spans="1:24" s="15" customFormat="1" ht="15.75" customHeight="1">
      <c r="A5" s="75"/>
      <c r="B5" s="75"/>
      <c r="C5" s="66"/>
      <c r="D5" s="67"/>
      <c r="E5" s="67"/>
      <c r="F5" s="68"/>
      <c r="G5" s="69"/>
      <c r="H5" s="68"/>
      <c r="I5" s="68"/>
      <c r="J5" s="68" t="s">
        <v>18</v>
      </c>
      <c r="K5" s="67" t="s">
        <v>6</v>
      </c>
      <c r="L5" s="67"/>
      <c r="M5" s="67"/>
      <c r="N5" s="68" t="s">
        <v>19</v>
      </c>
      <c r="O5" s="68" t="s">
        <v>20</v>
      </c>
      <c r="P5" s="68" t="s">
        <v>21</v>
      </c>
      <c r="Q5" s="69"/>
      <c r="R5" s="68"/>
      <c r="S5" s="76"/>
      <c r="T5" s="77"/>
      <c r="U5" s="78"/>
      <c r="V5" s="74"/>
      <c r="W5" s="14"/>
      <c r="X5" s="14"/>
    </row>
    <row r="6" spans="1:24" s="15" customFormat="1" ht="15.75" customHeight="1">
      <c r="A6" s="75"/>
      <c r="B6" s="75"/>
      <c r="C6" s="66"/>
      <c r="D6" s="67"/>
      <c r="E6" s="67"/>
      <c r="F6" s="68"/>
      <c r="G6" s="69"/>
      <c r="H6" s="68"/>
      <c r="I6" s="68"/>
      <c r="J6" s="68"/>
      <c r="K6" s="67"/>
      <c r="L6" s="67"/>
      <c r="M6" s="67"/>
      <c r="N6" s="68"/>
      <c r="O6" s="68"/>
      <c r="P6" s="68"/>
      <c r="Q6" s="69"/>
      <c r="R6" s="68"/>
      <c r="S6" s="76"/>
      <c r="T6" s="77"/>
      <c r="U6" s="78"/>
      <c r="V6" s="74"/>
      <c r="W6" s="14"/>
      <c r="X6" s="14"/>
    </row>
    <row r="7" spans="1:24" s="15" customFormat="1" ht="69" customHeight="1">
      <c r="A7" s="80"/>
      <c r="B7" s="80"/>
      <c r="C7" s="66"/>
      <c r="D7" s="67"/>
      <c r="E7" s="67"/>
      <c r="F7" s="68"/>
      <c r="G7" s="69"/>
      <c r="H7" s="68"/>
      <c r="I7" s="68"/>
      <c r="J7" s="68"/>
      <c r="K7" s="81" t="s">
        <v>22</v>
      </c>
      <c r="L7" s="81" t="s">
        <v>23</v>
      </c>
      <c r="M7" s="81" t="s">
        <v>92</v>
      </c>
      <c r="N7" s="68"/>
      <c r="O7" s="68"/>
      <c r="P7" s="68"/>
      <c r="Q7" s="69"/>
      <c r="R7" s="68"/>
      <c r="S7" s="76"/>
      <c r="T7" s="82"/>
      <c r="U7" s="78"/>
      <c r="V7" s="74"/>
      <c r="W7" s="20"/>
      <c r="X7" s="14"/>
    </row>
    <row r="8" spans="1:21" ht="14.25" customHeight="1">
      <c r="A8" s="21" t="s">
        <v>24</v>
      </c>
      <c r="B8" s="22"/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3" t="s">
        <v>31</v>
      </c>
      <c r="J8" s="23" t="s">
        <v>32</v>
      </c>
      <c r="K8" s="23" t="s">
        <v>33</v>
      </c>
      <c r="L8" s="23" t="s">
        <v>34</v>
      </c>
      <c r="M8" s="23" t="s">
        <v>35</v>
      </c>
      <c r="N8" s="23" t="s">
        <v>36</v>
      </c>
      <c r="O8" s="23" t="s">
        <v>37</v>
      </c>
      <c r="P8" s="23" t="s">
        <v>38</v>
      </c>
      <c r="Q8" s="23" t="s">
        <v>39</v>
      </c>
      <c r="R8" s="23" t="s">
        <v>40</v>
      </c>
      <c r="S8" s="23" t="s">
        <v>41</v>
      </c>
      <c r="T8" s="23" t="s">
        <v>42</v>
      </c>
      <c r="U8" s="23" t="s">
        <v>43</v>
      </c>
    </row>
    <row r="9" spans="1:24" s="161" customFormat="1" ht="23.25" customHeight="1">
      <c r="A9" s="157" t="s">
        <v>93</v>
      </c>
      <c r="B9" s="158"/>
      <c r="C9" s="147">
        <f>D9+E9</f>
        <v>1003402895</v>
      </c>
      <c r="D9" s="145">
        <f>D10+D16</f>
        <v>797279208</v>
      </c>
      <c r="E9" s="145">
        <f aca="true" t="shared" si="0" ref="E9:T9">E10+E16</f>
        <v>206123687</v>
      </c>
      <c r="F9" s="145">
        <f t="shared" si="0"/>
        <v>400704</v>
      </c>
      <c r="G9" s="145">
        <f t="shared" si="0"/>
        <v>0</v>
      </c>
      <c r="H9" s="145">
        <f t="shared" si="0"/>
        <v>1003002191</v>
      </c>
      <c r="I9" s="145">
        <f t="shared" si="0"/>
        <v>888128389</v>
      </c>
      <c r="J9" s="145">
        <f t="shared" si="0"/>
        <v>20887728</v>
      </c>
      <c r="K9" s="145">
        <f t="shared" si="0"/>
        <v>12952920</v>
      </c>
      <c r="L9" s="145">
        <f t="shared" si="0"/>
        <v>7842894</v>
      </c>
      <c r="M9" s="145">
        <f t="shared" si="0"/>
        <v>91914</v>
      </c>
      <c r="N9" s="145">
        <f t="shared" si="0"/>
        <v>867033865</v>
      </c>
      <c r="O9" s="145">
        <f t="shared" si="0"/>
        <v>0</v>
      </c>
      <c r="P9" s="145">
        <f t="shared" si="0"/>
        <v>206796</v>
      </c>
      <c r="Q9" s="145">
        <f t="shared" si="0"/>
        <v>113861744</v>
      </c>
      <c r="R9" s="145">
        <f t="shared" si="0"/>
        <v>0</v>
      </c>
      <c r="S9" s="145">
        <f t="shared" si="0"/>
        <v>1012058</v>
      </c>
      <c r="T9" s="145">
        <f t="shared" si="0"/>
        <v>982114463</v>
      </c>
      <c r="U9" s="148">
        <f aca="true" t="shared" si="1" ref="U9:U48">IF(I9&lt;&gt;0,J9/I9,"")</f>
        <v>0.02351881581391494</v>
      </c>
      <c r="V9" s="159">
        <f>IF(H9=C9-F9-G9,H9,"KT lai")</f>
        <v>1003002191</v>
      </c>
      <c r="W9" s="160">
        <f>I9+Q9+R9+S9</f>
        <v>1003002191</v>
      </c>
      <c r="X9" s="160">
        <f>V9-W9</f>
        <v>0</v>
      </c>
    </row>
    <row r="10" spans="1:24" s="162" customFormat="1" ht="24" customHeight="1">
      <c r="A10" s="143" t="s">
        <v>46</v>
      </c>
      <c r="B10" s="144" t="s">
        <v>47</v>
      </c>
      <c r="C10" s="147">
        <f aca="true" t="shared" si="2" ref="C10:C48">D10+E10</f>
        <v>655401354</v>
      </c>
      <c r="D10" s="145">
        <f>SUM(D11:D15)</f>
        <v>644808281</v>
      </c>
      <c r="E10" s="145">
        <f aca="true" t="shared" si="3" ref="E10:T10">SUM(E11:E15)</f>
        <v>10593073</v>
      </c>
      <c r="F10" s="145">
        <f t="shared" si="3"/>
        <v>15654</v>
      </c>
      <c r="G10" s="145">
        <f t="shared" si="3"/>
        <v>0</v>
      </c>
      <c r="H10" s="145">
        <f t="shared" si="3"/>
        <v>655385700</v>
      </c>
      <c r="I10" s="145">
        <f t="shared" si="3"/>
        <v>647106194</v>
      </c>
      <c r="J10" s="145">
        <f t="shared" si="3"/>
        <v>1466667</v>
      </c>
      <c r="K10" s="145">
        <f t="shared" si="3"/>
        <v>1466667</v>
      </c>
      <c r="L10" s="145">
        <f t="shared" si="3"/>
        <v>0</v>
      </c>
      <c r="M10" s="145">
        <f t="shared" si="3"/>
        <v>0</v>
      </c>
      <c r="N10" s="145">
        <f t="shared" si="3"/>
        <v>645639527</v>
      </c>
      <c r="O10" s="145">
        <f t="shared" si="3"/>
        <v>0</v>
      </c>
      <c r="P10" s="145">
        <f t="shared" si="3"/>
        <v>0</v>
      </c>
      <c r="Q10" s="145">
        <f t="shared" si="3"/>
        <v>8136327</v>
      </c>
      <c r="R10" s="145">
        <f t="shared" si="3"/>
        <v>0</v>
      </c>
      <c r="S10" s="145">
        <f t="shared" si="3"/>
        <v>143179</v>
      </c>
      <c r="T10" s="145">
        <f t="shared" si="3"/>
        <v>653919033</v>
      </c>
      <c r="U10" s="148">
        <f t="shared" si="1"/>
        <v>0.002266501253733943</v>
      </c>
      <c r="V10" s="159">
        <f>IF(H10=C10-F10-G10,H10,"KT lai")</f>
        <v>655385700</v>
      </c>
      <c r="W10" s="160">
        <f>I10+Q10+R10+S10</f>
        <v>655385700</v>
      </c>
      <c r="X10" s="160">
        <f>V10-W10</f>
        <v>0</v>
      </c>
    </row>
    <row r="11" spans="1:24" s="155" customFormat="1" ht="17.25" customHeight="1">
      <c r="A11" s="85">
        <v>1.1</v>
      </c>
      <c r="B11" s="86" t="s">
        <v>48</v>
      </c>
      <c r="C11" s="87">
        <f t="shared" si="2"/>
        <v>5346460</v>
      </c>
      <c r="D11" s="87">
        <f>'[2]05 Quy'!D11</f>
        <v>5049798</v>
      </c>
      <c r="E11" s="83">
        <v>296662</v>
      </c>
      <c r="F11" s="83">
        <v>0</v>
      </c>
      <c r="G11" s="83">
        <v>0</v>
      </c>
      <c r="H11" s="87">
        <f aca="true" t="shared" si="4" ref="H11:H48">C11-G11-F11</f>
        <v>5346460</v>
      </c>
      <c r="I11" s="87">
        <f aca="true" t="shared" si="5" ref="I11:I48">K11+L11+M11+N11+O11+P11</f>
        <v>4610726</v>
      </c>
      <c r="J11" s="87">
        <f aca="true" t="shared" si="6" ref="J11:J48">K11+L11+M11</f>
        <v>189632</v>
      </c>
      <c r="K11" s="83">
        <v>189632</v>
      </c>
      <c r="L11" s="83">
        <v>0</v>
      </c>
      <c r="M11" s="83">
        <v>0</v>
      </c>
      <c r="N11" s="83">
        <v>4421094</v>
      </c>
      <c r="O11" s="83">
        <v>0</v>
      </c>
      <c r="P11" s="83">
        <v>0</v>
      </c>
      <c r="Q11" s="87">
        <f>'[2]05 Quy'!Q11+136863</f>
        <v>735734</v>
      </c>
      <c r="R11" s="83">
        <v>0</v>
      </c>
      <c r="S11" s="83">
        <v>0</v>
      </c>
      <c r="T11" s="87">
        <f aca="true" t="shared" si="7" ref="T11:T48">SUM(N11:S11)</f>
        <v>5156828</v>
      </c>
      <c r="U11" s="88">
        <f t="shared" si="1"/>
        <v>0.04112844701680386</v>
      </c>
      <c r="V11" s="153">
        <f aca="true" t="shared" si="8" ref="V11:V48">IF(H11=C11-F11-G11,H11,"KT lai")</f>
        <v>5346460</v>
      </c>
      <c r="W11" s="154">
        <f aca="true" t="shared" si="9" ref="W11:W48">I11+Q11+R11+S11</f>
        <v>5346460</v>
      </c>
      <c r="X11" s="154">
        <f aca="true" t="shared" si="10" ref="X11:X48">V11-W11</f>
        <v>0</v>
      </c>
    </row>
    <row r="12" spans="1:24" s="155" customFormat="1" ht="17.25" customHeight="1">
      <c r="A12" s="85">
        <v>1.2</v>
      </c>
      <c r="B12" s="86" t="s">
        <v>49</v>
      </c>
      <c r="C12" s="87">
        <f t="shared" si="2"/>
        <v>8350282</v>
      </c>
      <c r="D12" s="87">
        <f>'[2]05 Nhung'!D11</f>
        <v>6799248</v>
      </c>
      <c r="E12" s="83">
        <v>1551034</v>
      </c>
      <c r="F12" s="83">
        <v>0</v>
      </c>
      <c r="G12" s="83">
        <v>0</v>
      </c>
      <c r="H12" s="87">
        <f t="shared" si="4"/>
        <v>8350282</v>
      </c>
      <c r="I12" s="87">
        <f t="shared" si="5"/>
        <v>2190627</v>
      </c>
      <c r="J12" s="87">
        <f t="shared" si="6"/>
        <v>1111274</v>
      </c>
      <c r="K12" s="83">
        <v>1111274</v>
      </c>
      <c r="L12" s="83">
        <v>0</v>
      </c>
      <c r="M12" s="83">
        <v>0</v>
      </c>
      <c r="N12" s="83">
        <v>1079353</v>
      </c>
      <c r="O12" s="83">
        <v>0</v>
      </c>
      <c r="P12" s="83">
        <v>0</v>
      </c>
      <c r="Q12" s="87">
        <f>'[2]05 Nhung'!Q11+593125</f>
        <v>6159655</v>
      </c>
      <c r="R12" s="83">
        <v>0</v>
      </c>
      <c r="S12" s="83">
        <v>0</v>
      </c>
      <c r="T12" s="87">
        <f t="shared" si="7"/>
        <v>7239008</v>
      </c>
      <c r="U12" s="88">
        <f t="shared" si="1"/>
        <v>0.5072858136049633</v>
      </c>
      <c r="V12" s="153">
        <f t="shared" si="8"/>
        <v>8350282</v>
      </c>
      <c r="W12" s="154">
        <f t="shared" si="9"/>
        <v>8350282</v>
      </c>
      <c r="X12" s="154">
        <f t="shared" si="10"/>
        <v>0</v>
      </c>
    </row>
    <row r="13" spans="1:24" s="155" customFormat="1" ht="17.25" customHeight="1">
      <c r="A13" s="85">
        <v>1.3</v>
      </c>
      <c r="B13" s="86" t="s">
        <v>50</v>
      </c>
      <c r="C13" s="87">
        <f t="shared" si="2"/>
        <v>3212161</v>
      </c>
      <c r="D13" s="87">
        <f>'[2]05 Phuong'!D11</f>
        <v>1547842</v>
      </c>
      <c r="E13" s="83">
        <v>1664319</v>
      </c>
      <c r="F13" s="83">
        <v>10390</v>
      </c>
      <c r="G13" s="83">
        <v>0</v>
      </c>
      <c r="H13" s="87">
        <f t="shared" si="4"/>
        <v>3201771</v>
      </c>
      <c r="I13" s="87">
        <f t="shared" si="5"/>
        <v>1878999</v>
      </c>
      <c r="J13" s="87">
        <f t="shared" si="6"/>
        <v>14463</v>
      </c>
      <c r="K13" s="83">
        <v>14463</v>
      </c>
      <c r="L13" s="83">
        <v>0</v>
      </c>
      <c r="M13" s="83">
        <v>0</v>
      </c>
      <c r="N13" s="83">
        <v>1864536</v>
      </c>
      <c r="O13" s="83">
        <v>0</v>
      </c>
      <c r="P13" s="83">
        <v>0</v>
      </c>
      <c r="Q13" s="87">
        <f>'[2]05 Phuong'!Q11</f>
        <v>1179593</v>
      </c>
      <c r="R13" s="83">
        <v>0</v>
      </c>
      <c r="S13" s="83">
        <v>143179</v>
      </c>
      <c r="T13" s="87">
        <f t="shared" si="7"/>
        <v>3187308</v>
      </c>
      <c r="U13" s="88">
        <f t="shared" si="1"/>
        <v>0.007697183447143931</v>
      </c>
      <c r="V13" s="153">
        <f t="shared" si="8"/>
        <v>3201771</v>
      </c>
      <c r="W13" s="154">
        <f t="shared" si="9"/>
        <v>3201771</v>
      </c>
      <c r="X13" s="154">
        <f t="shared" si="10"/>
        <v>0</v>
      </c>
    </row>
    <row r="14" spans="1:24" s="155" customFormat="1" ht="17.25" customHeight="1">
      <c r="A14" s="85">
        <v>1.4</v>
      </c>
      <c r="B14" s="86" t="s">
        <v>51</v>
      </c>
      <c r="C14" s="87">
        <f>D14+E14</f>
        <v>638378935</v>
      </c>
      <c r="D14" s="87">
        <f>'[2]05 Hiep'!D11</f>
        <v>631350048</v>
      </c>
      <c r="E14" s="83">
        <v>7028887</v>
      </c>
      <c r="F14" s="83">
        <v>5264</v>
      </c>
      <c r="G14" s="83">
        <v>0</v>
      </c>
      <c r="H14" s="87">
        <f>C14-G14-F14</f>
        <v>638373671</v>
      </c>
      <c r="I14" s="87">
        <f t="shared" si="5"/>
        <v>638373671</v>
      </c>
      <c r="J14" s="87">
        <f>K14+L14+M14</f>
        <v>99127</v>
      </c>
      <c r="K14" s="83">
        <v>99127</v>
      </c>
      <c r="L14" s="83">
        <v>0</v>
      </c>
      <c r="M14" s="83">
        <v>0</v>
      </c>
      <c r="N14" s="83">
        <v>638274544</v>
      </c>
      <c r="O14" s="83">
        <v>0</v>
      </c>
      <c r="P14" s="83">
        <v>0</v>
      </c>
      <c r="Q14" s="87">
        <f>'[2]05 Hiep'!Q11</f>
        <v>0</v>
      </c>
      <c r="R14" s="83">
        <v>0</v>
      </c>
      <c r="S14" s="83">
        <v>0</v>
      </c>
      <c r="T14" s="87">
        <f>SUM(N14:S14)</f>
        <v>638274544</v>
      </c>
      <c r="U14" s="88">
        <f>IF(I14&lt;&gt;0,J14/I14,"")</f>
        <v>0.00015528052691258314</v>
      </c>
      <c r="V14" s="153">
        <f>IF(H14=C14-F14-G14,H14,"KT lai")</f>
        <v>638373671</v>
      </c>
      <c r="W14" s="154">
        <f>I14+Q14+R14+S14</f>
        <v>638373671</v>
      </c>
      <c r="X14" s="154">
        <f>V14-W14</f>
        <v>0</v>
      </c>
    </row>
    <row r="15" spans="1:24" s="155" customFormat="1" ht="17.25" customHeight="1">
      <c r="A15" s="85">
        <v>1.5</v>
      </c>
      <c r="B15" s="86" t="s">
        <v>52</v>
      </c>
      <c r="C15" s="87">
        <f t="shared" si="2"/>
        <v>113516</v>
      </c>
      <c r="D15" s="149">
        <f>'[2]05 hoan'!D11</f>
        <v>61345</v>
      </c>
      <c r="E15" s="83">
        <v>52171</v>
      </c>
      <c r="F15" s="83">
        <v>0</v>
      </c>
      <c r="G15" s="83">
        <v>0</v>
      </c>
      <c r="H15" s="87">
        <f t="shared" si="4"/>
        <v>113516</v>
      </c>
      <c r="I15" s="87">
        <f t="shared" si="5"/>
        <v>52171</v>
      </c>
      <c r="J15" s="87">
        <f t="shared" si="6"/>
        <v>52171</v>
      </c>
      <c r="K15" s="83">
        <v>52171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149">
        <f>'[2]05 hoan'!Q11</f>
        <v>61345</v>
      </c>
      <c r="R15" s="83">
        <v>0</v>
      </c>
      <c r="S15" s="83">
        <v>0</v>
      </c>
      <c r="T15" s="87">
        <f t="shared" si="7"/>
        <v>61345</v>
      </c>
      <c r="U15" s="88">
        <f>IF(I15&lt;&gt;0,J15/I15,"")</f>
        <v>1</v>
      </c>
      <c r="V15" s="153">
        <f t="shared" si="8"/>
        <v>113516</v>
      </c>
      <c r="W15" s="154">
        <f t="shared" si="9"/>
        <v>113516</v>
      </c>
      <c r="X15" s="154">
        <f t="shared" si="10"/>
        <v>0</v>
      </c>
    </row>
    <row r="16" spans="1:24" s="162" customFormat="1" ht="33" customHeight="1">
      <c r="A16" s="143" t="s">
        <v>53</v>
      </c>
      <c r="B16" s="144" t="s">
        <v>54</v>
      </c>
      <c r="C16" s="147">
        <f t="shared" si="2"/>
        <v>348001541</v>
      </c>
      <c r="D16" s="145">
        <f>D17+D22+D27+D32+D38+D43</f>
        <v>152470927</v>
      </c>
      <c r="E16" s="145">
        <f>SUM(E17,E22,E27,E32,E38,E43)</f>
        <v>195530614</v>
      </c>
      <c r="F16" s="145">
        <f>SUM(F17,F22,F27,F32,F38,F43)</f>
        <v>385050</v>
      </c>
      <c r="G16" s="145">
        <f>SUM(G17,G22,G27,G32,G38,G43)</f>
        <v>0</v>
      </c>
      <c r="H16" s="145">
        <f>H17+H22+H27+H32+H38+H43</f>
        <v>347616491</v>
      </c>
      <c r="I16" s="145">
        <f>I17+I22+I27+I32+I38+I43</f>
        <v>241022195</v>
      </c>
      <c r="J16" s="145">
        <f>J17+J22+J27+J32+J38+J43</f>
        <v>19421061</v>
      </c>
      <c r="K16" s="145">
        <v>11486253</v>
      </c>
      <c r="L16" s="145">
        <v>7842894</v>
      </c>
      <c r="M16" s="145">
        <v>91914</v>
      </c>
      <c r="N16" s="145">
        <v>221394338</v>
      </c>
      <c r="O16" s="145">
        <v>0</v>
      </c>
      <c r="P16" s="145">
        <f>SUM(P17,P22,P27,P32,P38,P43)</f>
        <v>206796</v>
      </c>
      <c r="Q16" s="145">
        <f>Q17+Q22+Q27+Q32+Q38+Q43</f>
        <v>105725417</v>
      </c>
      <c r="R16" s="145">
        <f>R17+R22+R27+R32+R38+R43</f>
        <v>0</v>
      </c>
      <c r="S16" s="145">
        <f>SUM(S17,S22,S27,S32,S38,S43)</f>
        <v>868879</v>
      </c>
      <c r="T16" s="145">
        <f>T17+T22+T27+T32+T38+T43</f>
        <v>328195430</v>
      </c>
      <c r="U16" s="148">
        <f t="shared" si="1"/>
        <v>0.08057789449639689</v>
      </c>
      <c r="V16" s="159">
        <f t="shared" si="8"/>
        <v>347616491</v>
      </c>
      <c r="W16" s="160">
        <f t="shared" si="9"/>
        <v>347616491</v>
      </c>
      <c r="X16" s="160">
        <f t="shared" si="10"/>
        <v>0</v>
      </c>
    </row>
    <row r="17" spans="1:24" s="162" customFormat="1" ht="23.25" customHeight="1">
      <c r="A17" s="146">
        <v>1</v>
      </c>
      <c r="B17" s="144" t="s">
        <v>55</v>
      </c>
      <c r="C17" s="147">
        <f t="shared" si="2"/>
        <v>8616027</v>
      </c>
      <c r="D17" s="145">
        <f>SUM(D18:D21)</f>
        <v>5462545</v>
      </c>
      <c r="E17" s="145">
        <f>SUM(E18:E21)</f>
        <v>3153482</v>
      </c>
      <c r="F17" s="145">
        <f>SUM(F18:F21)</f>
        <v>258001</v>
      </c>
      <c r="G17" s="145">
        <f>SUM(G18:G21)</f>
        <v>0</v>
      </c>
      <c r="H17" s="145">
        <f>SUM(H18:H21)</f>
        <v>8358026</v>
      </c>
      <c r="I17" s="145">
        <f>SUM(I18:I21)</f>
        <v>6758382</v>
      </c>
      <c r="J17" s="145">
        <f>SUM(J18:J21)</f>
        <v>1845944</v>
      </c>
      <c r="K17" s="145">
        <v>1845944</v>
      </c>
      <c r="L17" s="145">
        <v>0</v>
      </c>
      <c r="M17" s="145">
        <v>0</v>
      </c>
      <c r="N17" s="145">
        <v>4708128</v>
      </c>
      <c r="O17" s="145">
        <v>0</v>
      </c>
      <c r="P17" s="145">
        <f>SUM(P18:P21)</f>
        <v>204310</v>
      </c>
      <c r="Q17" s="145">
        <f>SUM(Q18:Q21)</f>
        <v>1599644</v>
      </c>
      <c r="R17" s="145">
        <f>SUM(R18:R21)</f>
        <v>0</v>
      </c>
      <c r="S17" s="145">
        <f>SUM(S18:S21)</f>
        <v>0</v>
      </c>
      <c r="T17" s="145">
        <f>SUM(T18:T21)</f>
        <v>6512082</v>
      </c>
      <c r="U17" s="148">
        <f t="shared" si="1"/>
        <v>0.27313401343694393</v>
      </c>
      <c r="V17" s="159">
        <f t="shared" si="8"/>
        <v>8358026</v>
      </c>
      <c r="W17" s="160">
        <f t="shared" si="9"/>
        <v>8358026</v>
      </c>
      <c r="X17" s="160">
        <f t="shared" si="10"/>
        <v>0</v>
      </c>
    </row>
    <row r="18" spans="1:24" s="155" customFormat="1" ht="21.75" customHeight="1">
      <c r="A18" s="85">
        <v>1.1</v>
      </c>
      <c r="B18" s="86" t="s">
        <v>56</v>
      </c>
      <c r="C18" s="87">
        <f t="shared" si="2"/>
        <v>3008881</v>
      </c>
      <c r="D18" s="149">
        <f>2215177</f>
        <v>2215177</v>
      </c>
      <c r="E18" s="83">
        <v>793704</v>
      </c>
      <c r="F18" s="83">
        <v>0</v>
      </c>
      <c r="G18" s="83">
        <v>0</v>
      </c>
      <c r="H18" s="87">
        <f t="shared" si="4"/>
        <v>3008881</v>
      </c>
      <c r="I18" s="87">
        <f t="shared" si="5"/>
        <v>2153529</v>
      </c>
      <c r="J18" s="87">
        <f t="shared" si="6"/>
        <v>733608</v>
      </c>
      <c r="K18" s="83">
        <v>733608</v>
      </c>
      <c r="L18" s="83">
        <v>0</v>
      </c>
      <c r="M18" s="83">
        <v>0</v>
      </c>
      <c r="N18" s="83">
        <v>1234672</v>
      </c>
      <c r="O18" s="83">
        <v>0</v>
      </c>
      <c r="P18" s="83">
        <v>185249</v>
      </c>
      <c r="Q18" s="133">
        <v>855352</v>
      </c>
      <c r="R18" s="83">
        <v>0</v>
      </c>
      <c r="S18" s="83">
        <v>0</v>
      </c>
      <c r="T18" s="87">
        <f t="shared" si="7"/>
        <v>2275273</v>
      </c>
      <c r="U18" s="88">
        <f t="shared" si="1"/>
        <v>0.3406538755688918</v>
      </c>
      <c r="V18" s="153">
        <f t="shared" si="8"/>
        <v>3008881</v>
      </c>
      <c r="W18" s="154">
        <f t="shared" si="9"/>
        <v>3008881</v>
      </c>
      <c r="X18" s="154">
        <f t="shared" si="10"/>
        <v>0</v>
      </c>
    </row>
    <row r="19" spans="1:24" s="155" customFormat="1" ht="21.75" customHeight="1">
      <c r="A19" s="85">
        <v>1.2</v>
      </c>
      <c r="B19" s="86" t="s">
        <v>57</v>
      </c>
      <c r="C19" s="87">
        <f t="shared" si="2"/>
        <v>2487425</v>
      </c>
      <c r="D19" s="149">
        <v>1324565</v>
      </c>
      <c r="E19" s="83">
        <v>1162860</v>
      </c>
      <c r="F19" s="83">
        <v>258001</v>
      </c>
      <c r="G19" s="83">
        <v>0</v>
      </c>
      <c r="H19" s="87">
        <f t="shared" si="4"/>
        <v>2229424</v>
      </c>
      <c r="I19" s="87">
        <f t="shared" si="5"/>
        <v>1845479</v>
      </c>
      <c r="J19" s="87">
        <f t="shared" si="6"/>
        <v>160061</v>
      </c>
      <c r="K19" s="83">
        <v>160061</v>
      </c>
      <c r="L19" s="83">
        <v>0</v>
      </c>
      <c r="M19" s="83">
        <v>0</v>
      </c>
      <c r="N19" s="83">
        <v>1685418</v>
      </c>
      <c r="O19" s="83">
        <v>0</v>
      </c>
      <c r="P19" s="83">
        <v>0</v>
      </c>
      <c r="Q19" s="133">
        <v>383945</v>
      </c>
      <c r="R19" s="83">
        <v>0</v>
      </c>
      <c r="S19" s="83">
        <v>0</v>
      </c>
      <c r="T19" s="87">
        <f t="shared" si="7"/>
        <v>2069363</v>
      </c>
      <c r="U19" s="88">
        <f t="shared" si="1"/>
        <v>0.08673141227832991</v>
      </c>
      <c r="V19" s="153">
        <f t="shared" si="8"/>
        <v>2229424</v>
      </c>
      <c r="W19" s="154">
        <f t="shared" si="9"/>
        <v>2229424</v>
      </c>
      <c r="X19" s="154">
        <f t="shared" si="10"/>
        <v>0</v>
      </c>
    </row>
    <row r="20" spans="1:24" s="155" customFormat="1" ht="21.75" customHeight="1">
      <c r="A20" s="85">
        <v>1.3</v>
      </c>
      <c r="B20" s="86" t="s">
        <v>58</v>
      </c>
      <c r="C20" s="87">
        <f t="shared" si="2"/>
        <v>2930489</v>
      </c>
      <c r="D20" s="149">
        <v>1854307</v>
      </c>
      <c r="E20" s="83">
        <v>1076182</v>
      </c>
      <c r="F20" s="83">
        <v>0</v>
      </c>
      <c r="G20" s="83">
        <v>0</v>
      </c>
      <c r="H20" s="87">
        <f t="shared" si="4"/>
        <v>2930489</v>
      </c>
      <c r="I20" s="87">
        <f t="shared" si="5"/>
        <v>2610380</v>
      </c>
      <c r="J20" s="87">
        <f t="shared" si="6"/>
        <v>831572</v>
      </c>
      <c r="K20" s="83">
        <v>831572</v>
      </c>
      <c r="L20" s="83">
        <v>0</v>
      </c>
      <c r="M20" s="83">
        <v>0</v>
      </c>
      <c r="N20" s="83">
        <v>1759747</v>
      </c>
      <c r="O20" s="83">
        <v>0</v>
      </c>
      <c r="P20" s="83">
        <v>19061</v>
      </c>
      <c r="Q20" s="133">
        <v>320109</v>
      </c>
      <c r="R20" s="83">
        <v>0</v>
      </c>
      <c r="S20" s="83">
        <v>0</v>
      </c>
      <c r="T20" s="87">
        <f t="shared" si="7"/>
        <v>2098917</v>
      </c>
      <c r="U20" s="88">
        <f t="shared" si="1"/>
        <v>0.31856358078134217</v>
      </c>
      <c r="V20" s="153">
        <f t="shared" si="8"/>
        <v>2930489</v>
      </c>
      <c r="W20" s="154">
        <f t="shared" si="9"/>
        <v>2930489</v>
      </c>
      <c r="X20" s="154">
        <f t="shared" si="10"/>
        <v>0</v>
      </c>
    </row>
    <row r="21" spans="1:24" s="155" customFormat="1" ht="21.75" customHeight="1">
      <c r="A21" s="85">
        <v>1.4</v>
      </c>
      <c r="B21" s="86" t="s">
        <v>59</v>
      </c>
      <c r="C21" s="87">
        <f t="shared" si="2"/>
        <v>189232</v>
      </c>
      <c r="D21" s="133">
        <v>68496</v>
      </c>
      <c r="E21" s="83">
        <v>120736</v>
      </c>
      <c r="F21" s="83">
        <v>0</v>
      </c>
      <c r="G21" s="83">
        <v>0</v>
      </c>
      <c r="H21" s="87">
        <f t="shared" si="4"/>
        <v>189232</v>
      </c>
      <c r="I21" s="87">
        <f t="shared" si="5"/>
        <v>148994</v>
      </c>
      <c r="J21" s="87">
        <f t="shared" si="6"/>
        <v>120703</v>
      </c>
      <c r="K21" s="83">
        <v>120703</v>
      </c>
      <c r="L21" s="83">
        <v>0</v>
      </c>
      <c r="M21" s="83">
        <v>0</v>
      </c>
      <c r="N21" s="83">
        <v>28291</v>
      </c>
      <c r="O21" s="83">
        <v>0</v>
      </c>
      <c r="P21" s="83">
        <v>0</v>
      </c>
      <c r="Q21" s="133">
        <v>40238</v>
      </c>
      <c r="R21" s="83">
        <v>0</v>
      </c>
      <c r="S21" s="83">
        <v>0</v>
      </c>
      <c r="T21" s="87">
        <f t="shared" si="7"/>
        <v>68529</v>
      </c>
      <c r="U21" s="88">
        <f t="shared" si="1"/>
        <v>0.8101198705988161</v>
      </c>
      <c r="V21" s="153">
        <f t="shared" si="8"/>
        <v>189232</v>
      </c>
      <c r="W21" s="154">
        <f t="shared" si="9"/>
        <v>189232</v>
      </c>
      <c r="X21" s="154">
        <f t="shared" si="10"/>
        <v>0</v>
      </c>
    </row>
    <row r="22" spans="1:24" s="162" customFormat="1" ht="27.75" customHeight="1">
      <c r="A22" s="146">
        <v>2</v>
      </c>
      <c r="B22" s="144" t="s">
        <v>60</v>
      </c>
      <c r="C22" s="147">
        <f t="shared" si="2"/>
        <v>166431111</v>
      </c>
      <c r="D22" s="145">
        <f aca="true" t="shared" si="11" ref="D22:T22">SUM(D23:D26)</f>
        <v>37490006</v>
      </c>
      <c r="E22" s="145">
        <f>SUM(E23:E26)</f>
        <v>128941105</v>
      </c>
      <c r="F22" s="145">
        <f>SUM(F23:F26)</f>
        <v>800</v>
      </c>
      <c r="G22" s="145">
        <f>SUM(G23:G26)</f>
        <v>0</v>
      </c>
      <c r="H22" s="145">
        <f t="shared" si="11"/>
        <v>166430311</v>
      </c>
      <c r="I22" s="145">
        <f t="shared" si="11"/>
        <v>130138246</v>
      </c>
      <c r="J22" s="145">
        <f t="shared" si="11"/>
        <v>316190</v>
      </c>
      <c r="K22" s="145">
        <v>316190</v>
      </c>
      <c r="L22" s="145">
        <v>0</v>
      </c>
      <c r="M22" s="145">
        <v>0</v>
      </c>
      <c r="N22" s="145">
        <v>129822056</v>
      </c>
      <c r="O22" s="145">
        <v>0</v>
      </c>
      <c r="P22" s="145">
        <f t="shared" si="11"/>
        <v>0</v>
      </c>
      <c r="Q22" s="145">
        <f t="shared" si="11"/>
        <v>36292065</v>
      </c>
      <c r="R22" s="145">
        <f t="shared" si="11"/>
        <v>0</v>
      </c>
      <c r="S22" s="145">
        <f t="shared" si="11"/>
        <v>0</v>
      </c>
      <c r="T22" s="145">
        <f t="shared" si="11"/>
        <v>166114121</v>
      </c>
      <c r="U22" s="148">
        <f t="shared" si="1"/>
        <v>0.0024296470078442583</v>
      </c>
      <c r="V22" s="159">
        <f t="shared" si="8"/>
        <v>166430311</v>
      </c>
      <c r="W22" s="160">
        <f t="shared" si="9"/>
        <v>166430311</v>
      </c>
      <c r="X22" s="160">
        <f t="shared" si="10"/>
        <v>0</v>
      </c>
    </row>
    <row r="23" spans="1:24" s="155" customFormat="1" ht="19.5" customHeight="1">
      <c r="A23" s="85">
        <v>2.1</v>
      </c>
      <c r="B23" s="86" t="s">
        <v>61</v>
      </c>
      <c r="C23" s="87">
        <f t="shared" si="2"/>
        <v>164297397</v>
      </c>
      <c r="D23" s="133">
        <v>35913661</v>
      </c>
      <c r="E23" s="83">
        <v>128383736</v>
      </c>
      <c r="F23" s="83">
        <v>800</v>
      </c>
      <c r="G23" s="83">
        <v>0</v>
      </c>
      <c r="H23" s="87">
        <f t="shared" si="4"/>
        <v>164296597</v>
      </c>
      <c r="I23" s="87">
        <f t="shared" si="5"/>
        <v>129402644</v>
      </c>
      <c r="J23" s="87">
        <f t="shared" si="6"/>
        <v>152511</v>
      </c>
      <c r="K23" s="83">
        <v>152511</v>
      </c>
      <c r="L23" s="83">
        <v>0</v>
      </c>
      <c r="M23" s="83">
        <v>0</v>
      </c>
      <c r="N23" s="83">
        <v>129250133</v>
      </c>
      <c r="O23" s="83">
        <v>0</v>
      </c>
      <c r="P23" s="83">
        <v>0</v>
      </c>
      <c r="Q23" s="133">
        <v>34893953</v>
      </c>
      <c r="R23" s="83">
        <v>0</v>
      </c>
      <c r="S23" s="83">
        <v>0</v>
      </c>
      <c r="T23" s="87">
        <f t="shared" si="7"/>
        <v>164144086</v>
      </c>
      <c r="U23" s="88">
        <f t="shared" si="1"/>
        <v>0.0011785771548840996</v>
      </c>
      <c r="V23" s="153">
        <f t="shared" si="8"/>
        <v>164296597</v>
      </c>
      <c r="W23" s="154">
        <f t="shared" si="9"/>
        <v>164296597</v>
      </c>
      <c r="X23" s="154">
        <f t="shared" si="10"/>
        <v>0</v>
      </c>
    </row>
    <row r="24" spans="1:24" s="155" customFormat="1" ht="19.5" customHeight="1">
      <c r="A24" s="85">
        <v>2.2</v>
      </c>
      <c r="B24" s="86" t="s">
        <v>62</v>
      </c>
      <c r="C24" s="87">
        <f t="shared" si="2"/>
        <v>611393</v>
      </c>
      <c r="D24" s="133">
        <v>149777</v>
      </c>
      <c r="E24" s="83">
        <v>461616</v>
      </c>
      <c r="F24" s="83">
        <v>0</v>
      </c>
      <c r="G24" s="83">
        <v>0</v>
      </c>
      <c r="H24" s="87">
        <f t="shared" si="4"/>
        <v>611393</v>
      </c>
      <c r="I24" s="87">
        <f t="shared" si="5"/>
        <v>544275</v>
      </c>
      <c r="J24" s="87">
        <f t="shared" si="6"/>
        <v>70595</v>
      </c>
      <c r="K24" s="83">
        <v>70595</v>
      </c>
      <c r="L24" s="83">
        <v>0</v>
      </c>
      <c r="M24" s="83">
        <v>0</v>
      </c>
      <c r="N24" s="83">
        <v>473680</v>
      </c>
      <c r="O24" s="83">
        <v>0</v>
      </c>
      <c r="P24" s="83">
        <v>0</v>
      </c>
      <c r="Q24" s="133">
        <f>67507-389</f>
        <v>67118</v>
      </c>
      <c r="R24" s="83">
        <v>0</v>
      </c>
      <c r="S24" s="83">
        <v>0</v>
      </c>
      <c r="T24" s="87">
        <f t="shared" si="7"/>
        <v>540798</v>
      </c>
      <c r="U24" s="88">
        <f t="shared" si="1"/>
        <v>0.12970465297873318</v>
      </c>
      <c r="V24" s="153">
        <f t="shared" si="8"/>
        <v>611393</v>
      </c>
      <c r="W24" s="154">
        <f t="shared" si="9"/>
        <v>611393</v>
      </c>
      <c r="X24" s="154">
        <f t="shared" si="10"/>
        <v>0</v>
      </c>
    </row>
    <row r="25" spans="1:24" s="155" customFormat="1" ht="19.5" customHeight="1">
      <c r="A25" s="85">
        <v>2.3</v>
      </c>
      <c r="B25" s="86" t="s">
        <v>63</v>
      </c>
      <c r="C25" s="87">
        <f t="shared" si="2"/>
        <v>1519621</v>
      </c>
      <c r="D25" s="133">
        <v>1426568</v>
      </c>
      <c r="E25" s="83">
        <v>93053</v>
      </c>
      <c r="F25" s="83">
        <v>0</v>
      </c>
      <c r="G25" s="83">
        <v>0</v>
      </c>
      <c r="H25" s="87">
        <f t="shared" si="4"/>
        <v>1519621</v>
      </c>
      <c r="I25" s="87">
        <f t="shared" si="5"/>
        <v>188627</v>
      </c>
      <c r="J25" s="87">
        <f t="shared" si="6"/>
        <v>90384</v>
      </c>
      <c r="K25" s="83">
        <v>90384</v>
      </c>
      <c r="L25" s="83">
        <v>0</v>
      </c>
      <c r="M25" s="83">
        <v>0</v>
      </c>
      <c r="N25" s="83">
        <v>98243</v>
      </c>
      <c r="O25" s="83">
        <v>0</v>
      </c>
      <c r="P25" s="83">
        <v>0</v>
      </c>
      <c r="Q25" s="133">
        <v>1330994</v>
      </c>
      <c r="R25" s="83">
        <v>0</v>
      </c>
      <c r="S25" s="83">
        <v>0</v>
      </c>
      <c r="T25" s="87">
        <f t="shared" si="7"/>
        <v>1429237</v>
      </c>
      <c r="U25" s="88">
        <f t="shared" si="1"/>
        <v>0.47916788158641127</v>
      </c>
      <c r="V25" s="153">
        <f t="shared" si="8"/>
        <v>1519621</v>
      </c>
      <c r="W25" s="154">
        <f t="shared" si="9"/>
        <v>1519621</v>
      </c>
      <c r="X25" s="154">
        <f t="shared" si="10"/>
        <v>0</v>
      </c>
    </row>
    <row r="26" spans="1:24" s="155" customFormat="1" ht="19.5" customHeight="1">
      <c r="A26" s="85">
        <v>2.4</v>
      </c>
      <c r="B26" s="86" t="s">
        <v>64</v>
      </c>
      <c r="C26" s="87">
        <f t="shared" si="2"/>
        <v>2700</v>
      </c>
      <c r="D26" s="133"/>
      <c r="E26" s="83">
        <v>2700</v>
      </c>
      <c r="F26" s="83">
        <v>0</v>
      </c>
      <c r="G26" s="83">
        <v>0</v>
      </c>
      <c r="H26" s="87">
        <f t="shared" si="4"/>
        <v>2700</v>
      </c>
      <c r="I26" s="87">
        <f t="shared" si="5"/>
        <v>2700</v>
      </c>
      <c r="J26" s="87">
        <f t="shared" si="6"/>
        <v>2700</v>
      </c>
      <c r="K26" s="83">
        <v>2700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133"/>
      <c r="R26" s="83">
        <v>0</v>
      </c>
      <c r="S26" s="83">
        <v>0</v>
      </c>
      <c r="T26" s="87">
        <f t="shared" si="7"/>
        <v>0</v>
      </c>
      <c r="U26" s="88">
        <f t="shared" si="1"/>
        <v>1</v>
      </c>
      <c r="V26" s="153">
        <f t="shared" si="8"/>
        <v>2700</v>
      </c>
      <c r="W26" s="154">
        <f t="shared" si="9"/>
        <v>2700</v>
      </c>
      <c r="X26" s="154">
        <f t="shared" si="10"/>
        <v>0</v>
      </c>
    </row>
    <row r="27" spans="1:24" s="162" customFormat="1" ht="28.5" customHeight="1">
      <c r="A27" s="146">
        <v>3</v>
      </c>
      <c r="B27" s="144" t="s">
        <v>65</v>
      </c>
      <c r="C27" s="147">
        <f t="shared" si="2"/>
        <v>20695687</v>
      </c>
      <c r="D27" s="145">
        <f>SUM(D28:D31)</f>
        <v>19840307</v>
      </c>
      <c r="E27" s="145">
        <f>SUM(E28:E31)</f>
        <v>855380</v>
      </c>
      <c r="F27" s="145">
        <f>SUM(F28:F31)</f>
        <v>62950</v>
      </c>
      <c r="G27" s="145">
        <f>SUM(G28:G31)</f>
        <v>0</v>
      </c>
      <c r="H27" s="145">
        <f>SUM(H28:H31)</f>
        <v>20632737</v>
      </c>
      <c r="I27" s="145">
        <f>SUM(I28:I31)</f>
        <v>9800853</v>
      </c>
      <c r="J27" s="145">
        <f>SUM(J28:J31)</f>
        <v>92707</v>
      </c>
      <c r="K27" s="145">
        <v>92707</v>
      </c>
      <c r="L27" s="145">
        <v>0</v>
      </c>
      <c r="M27" s="145">
        <v>0</v>
      </c>
      <c r="N27" s="145">
        <v>9708146</v>
      </c>
      <c r="O27" s="145">
        <v>0</v>
      </c>
      <c r="P27" s="145">
        <f>SUM(P28:P31)</f>
        <v>0</v>
      </c>
      <c r="Q27" s="145">
        <f>SUM(Q28:Q31)</f>
        <v>10728661</v>
      </c>
      <c r="R27" s="145">
        <f>SUM(R28:R31)</f>
        <v>0</v>
      </c>
      <c r="S27" s="145">
        <f>SUM(S28:S31)</f>
        <v>103223</v>
      </c>
      <c r="T27" s="145">
        <f>SUM(T28:T31)</f>
        <v>20540030</v>
      </c>
      <c r="U27" s="148">
        <f t="shared" si="1"/>
        <v>0.00945907463360587</v>
      </c>
      <c r="V27" s="159">
        <f t="shared" si="8"/>
        <v>20632737</v>
      </c>
      <c r="W27" s="160">
        <f t="shared" si="9"/>
        <v>20632737</v>
      </c>
      <c r="X27" s="160">
        <f t="shared" si="10"/>
        <v>0</v>
      </c>
    </row>
    <row r="28" spans="1:24" s="155" customFormat="1" ht="19.5" customHeight="1">
      <c r="A28" s="85">
        <v>3.1</v>
      </c>
      <c r="B28" s="86" t="s">
        <v>66</v>
      </c>
      <c r="C28" s="87">
        <f t="shared" si="2"/>
        <v>915297</v>
      </c>
      <c r="D28" s="133">
        <v>906297</v>
      </c>
      <c r="E28" s="83">
        <v>9000</v>
      </c>
      <c r="F28" s="83">
        <v>0</v>
      </c>
      <c r="G28" s="83">
        <v>0</v>
      </c>
      <c r="H28" s="87">
        <f t="shared" si="4"/>
        <v>915297</v>
      </c>
      <c r="I28" s="87">
        <f t="shared" si="5"/>
        <v>447420</v>
      </c>
      <c r="J28" s="87">
        <f t="shared" si="6"/>
        <v>6800</v>
      </c>
      <c r="K28" s="83">
        <v>6800</v>
      </c>
      <c r="L28" s="83">
        <v>0</v>
      </c>
      <c r="M28" s="83">
        <v>0</v>
      </c>
      <c r="N28" s="83">
        <v>440620</v>
      </c>
      <c r="O28" s="83">
        <v>0</v>
      </c>
      <c r="P28" s="83">
        <v>0</v>
      </c>
      <c r="Q28" s="133">
        <f>467427+450</f>
        <v>467877</v>
      </c>
      <c r="R28" s="83">
        <v>0</v>
      </c>
      <c r="S28" s="83">
        <v>0</v>
      </c>
      <c r="T28" s="87">
        <f t="shared" si="7"/>
        <v>908497</v>
      </c>
      <c r="U28" s="88">
        <f t="shared" si="1"/>
        <v>0.015198247731438023</v>
      </c>
      <c r="V28" s="153">
        <f t="shared" si="8"/>
        <v>915297</v>
      </c>
      <c r="W28" s="154">
        <f t="shared" si="9"/>
        <v>915297</v>
      </c>
      <c r="X28" s="154">
        <f t="shared" si="10"/>
        <v>0</v>
      </c>
    </row>
    <row r="29" spans="1:24" s="155" customFormat="1" ht="19.5" customHeight="1">
      <c r="A29" s="85">
        <v>3.2</v>
      </c>
      <c r="B29" s="86" t="s">
        <v>67</v>
      </c>
      <c r="C29" s="87">
        <f t="shared" si="2"/>
        <v>9971833</v>
      </c>
      <c r="D29" s="133">
        <v>9438752</v>
      </c>
      <c r="E29" s="83">
        <v>533081</v>
      </c>
      <c r="F29" s="83">
        <v>3600</v>
      </c>
      <c r="G29" s="83">
        <v>0</v>
      </c>
      <c r="H29" s="87">
        <f t="shared" si="4"/>
        <v>9968233</v>
      </c>
      <c r="I29" s="87">
        <f t="shared" si="5"/>
        <v>1930209</v>
      </c>
      <c r="J29" s="87">
        <f t="shared" si="6"/>
        <v>52835</v>
      </c>
      <c r="K29" s="83">
        <v>52835</v>
      </c>
      <c r="L29" s="83">
        <v>0</v>
      </c>
      <c r="M29" s="83">
        <v>0</v>
      </c>
      <c r="N29" s="83">
        <v>1877374</v>
      </c>
      <c r="O29" s="83">
        <v>0</v>
      </c>
      <c r="P29" s="83">
        <v>0</v>
      </c>
      <c r="Q29" s="133">
        <f>7934801</f>
        <v>7934801</v>
      </c>
      <c r="R29" s="83">
        <v>0</v>
      </c>
      <c r="S29" s="83">
        <v>103223</v>
      </c>
      <c r="T29" s="87">
        <f t="shared" si="7"/>
        <v>9915398</v>
      </c>
      <c r="U29" s="88">
        <f t="shared" si="1"/>
        <v>0.02737268347624532</v>
      </c>
      <c r="V29" s="153">
        <f t="shared" si="8"/>
        <v>9968233</v>
      </c>
      <c r="W29" s="154">
        <f t="shared" si="9"/>
        <v>9968233</v>
      </c>
      <c r="X29" s="154">
        <f t="shared" si="10"/>
        <v>0</v>
      </c>
    </row>
    <row r="30" spans="1:24" s="155" customFormat="1" ht="19.5" customHeight="1">
      <c r="A30" s="85">
        <v>3.3</v>
      </c>
      <c r="B30" s="86" t="s">
        <v>68</v>
      </c>
      <c r="C30" s="87">
        <f t="shared" si="2"/>
        <v>9750344</v>
      </c>
      <c r="D30" s="133">
        <v>9463770</v>
      </c>
      <c r="E30" s="83">
        <v>286574</v>
      </c>
      <c r="F30" s="83">
        <v>59350</v>
      </c>
      <c r="G30" s="83">
        <v>0</v>
      </c>
      <c r="H30" s="87">
        <f t="shared" si="4"/>
        <v>9690994</v>
      </c>
      <c r="I30" s="87">
        <f t="shared" si="5"/>
        <v>7377360</v>
      </c>
      <c r="J30" s="87">
        <f t="shared" si="6"/>
        <v>30272</v>
      </c>
      <c r="K30" s="83">
        <v>30272</v>
      </c>
      <c r="L30" s="83">
        <v>0</v>
      </c>
      <c r="M30" s="83">
        <v>0</v>
      </c>
      <c r="N30" s="83">
        <v>7347088</v>
      </c>
      <c r="O30" s="83">
        <v>0</v>
      </c>
      <c r="P30" s="83">
        <v>0</v>
      </c>
      <c r="Q30" s="133">
        <f>2296037+17597</f>
        <v>2313634</v>
      </c>
      <c r="R30" s="83">
        <v>0</v>
      </c>
      <c r="S30" s="83">
        <v>0</v>
      </c>
      <c r="T30" s="87">
        <f t="shared" si="7"/>
        <v>9660722</v>
      </c>
      <c r="U30" s="88">
        <f t="shared" si="1"/>
        <v>0.004103364889337107</v>
      </c>
      <c r="V30" s="153">
        <f t="shared" si="8"/>
        <v>9690994</v>
      </c>
      <c r="W30" s="154">
        <f t="shared" si="9"/>
        <v>9690994</v>
      </c>
      <c r="X30" s="154">
        <f t="shared" si="10"/>
        <v>0</v>
      </c>
    </row>
    <row r="31" spans="1:24" s="155" customFormat="1" ht="19.5" customHeight="1">
      <c r="A31" s="85">
        <v>3.4</v>
      </c>
      <c r="B31" s="86" t="s">
        <v>69</v>
      </c>
      <c r="C31" s="87">
        <f t="shared" si="2"/>
        <v>58213</v>
      </c>
      <c r="D31" s="133">
        <v>31488</v>
      </c>
      <c r="E31" s="83">
        <v>26725</v>
      </c>
      <c r="F31" s="83">
        <v>0</v>
      </c>
      <c r="G31" s="83">
        <v>0</v>
      </c>
      <c r="H31" s="87">
        <f t="shared" si="4"/>
        <v>58213</v>
      </c>
      <c r="I31" s="87">
        <f t="shared" si="5"/>
        <v>45864</v>
      </c>
      <c r="J31" s="87">
        <f t="shared" si="6"/>
        <v>2800</v>
      </c>
      <c r="K31" s="83">
        <v>2800</v>
      </c>
      <c r="L31" s="83">
        <v>0</v>
      </c>
      <c r="M31" s="83">
        <v>0</v>
      </c>
      <c r="N31" s="83">
        <v>43064</v>
      </c>
      <c r="O31" s="83">
        <v>0</v>
      </c>
      <c r="P31" s="83">
        <v>0</v>
      </c>
      <c r="Q31" s="133">
        <f>12149+200</f>
        <v>12349</v>
      </c>
      <c r="R31" s="83">
        <v>0</v>
      </c>
      <c r="S31" s="83">
        <v>0</v>
      </c>
      <c r="T31" s="87">
        <f t="shared" si="7"/>
        <v>55413</v>
      </c>
      <c r="U31" s="88">
        <f t="shared" si="1"/>
        <v>0.06105006105006105</v>
      </c>
      <c r="V31" s="153">
        <f t="shared" si="8"/>
        <v>58213</v>
      </c>
      <c r="W31" s="154">
        <f t="shared" si="9"/>
        <v>58213</v>
      </c>
      <c r="X31" s="154">
        <f t="shared" si="10"/>
        <v>0</v>
      </c>
    </row>
    <row r="32" spans="1:24" s="162" customFormat="1" ht="25.5" customHeight="1">
      <c r="A32" s="146">
        <v>4</v>
      </c>
      <c r="B32" s="144" t="s">
        <v>70</v>
      </c>
      <c r="C32" s="147">
        <f t="shared" si="2"/>
        <v>12191536</v>
      </c>
      <c r="D32" s="145">
        <f>SUM(D33:D37)</f>
        <v>8256681</v>
      </c>
      <c r="E32" s="145">
        <f>SUM(E33:E37)</f>
        <v>3934855</v>
      </c>
      <c r="F32" s="145">
        <f>SUM(F33:F37)</f>
        <v>900</v>
      </c>
      <c r="G32" s="145">
        <f>SUM(G33:G37)</f>
        <v>0</v>
      </c>
      <c r="H32" s="145">
        <f>SUM(H33:H37)</f>
        <v>12190636</v>
      </c>
      <c r="I32" s="145">
        <f>SUM(I33:I37)</f>
        <v>4850600</v>
      </c>
      <c r="J32" s="145">
        <f>SUM(J33:J37)</f>
        <v>1986629</v>
      </c>
      <c r="K32" s="145">
        <v>1986629</v>
      </c>
      <c r="L32" s="145">
        <v>0</v>
      </c>
      <c r="M32" s="145">
        <v>0</v>
      </c>
      <c r="N32" s="145">
        <v>2861485</v>
      </c>
      <c r="O32" s="145">
        <v>0</v>
      </c>
      <c r="P32" s="145">
        <f>SUM(P33:P37)</f>
        <v>2486</v>
      </c>
      <c r="Q32" s="145">
        <f>SUM(Q33:Q37)</f>
        <v>6574380</v>
      </c>
      <c r="R32" s="145">
        <f>SUM(R33:R37)</f>
        <v>0</v>
      </c>
      <c r="S32" s="145">
        <f>SUM(S33:S37)</f>
        <v>765656</v>
      </c>
      <c r="T32" s="145">
        <f>SUM(T33:T37)</f>
        <v>10204007</v>
      </c>
      <c r="U32" s="148">
        <f t="shared" si="1"/>
        <v>0.40956355914732195</v>
      </c>
      <c r="V32" s="159">
        <f t="shared" si="8"/>
        <v>12190636</v>
      </c>
      <c r="W32" s="160">
        <f t="shared" si="9"/>
        <v>12190636</v>
      </c>
      <c r="X32" s="160">
        <f t="shared" si="10"/>
        <v>0</v>
      </c>
    </row>
    <row r="33" spans="1:24" s="155" customFormat="1" ht="18" customHeight="1">
      <c r="A33" s="85">
        <v>4.1</v>
      </c>
      <c r="B33" s="86" t="s">
        <v>71</v>
      </c>
      <c r="C33" s="87">
        <f t="shared" si="2"/>
        <v>4615866</v>
      </c>
      <c r="D33" s="133">
        <v>1076354</v>
      </c>
      <c r="E33" s="83">
        <v>3539512</v>
      </c>
      <c r="F33" s="83">
        <v>0</v>
      </c>
      <c r="G33" s="83">
        <v>0</v>
      </c>
      <c r="H33" s="87">
        <f t="shared" si="4"/>
        <v>4615866</v>
      </c>
      <c r="I33" s="87">
        <f t="shared" si="5"/>
        <v>3668301</v>
      </c>
      <c r="J33" s="87">
        <f t="shared" si="6"/>
        <v>1691876</v>
      </c>
      <c r="K33" s="83">
        <v>1691876</v>
      </c>
      <c r="L33" s="83">
        <v>0</v>
      </c>
      <c r="M33" s="83">
        <v>0</v>
      </c>
      <c r="N33" s="83">
        <v>1973939</v>
      </c>
      <c r="O33" s="83">
        <v>0</v>
      </c>
      <c r="P33" s="83">
        <v>2486</v>
      </c>
      <c r="Q33" s="133">
        <v>182659</v>
      </c>
      <c r="R33" s="83">
        <v>0</v>
      </c>
      <c r="S33" s="83">
        <v>764906</v>
      </c>
      <c r="T33" s="87">
        <f t="shared" si="7"/>
        <v>2923990</v>
      </c>
      <c r="U33" s="88">
        <f t="shared" si="1"/>
        <v>0.4612151511012864</v>
      </c>
      <c r="V33" s="153">
        <f t="shared" si="8"/>
        <v>4615866</v>
      </c>
      <c r="W33" s="154">
        <f t="shared" si="9"/>
        <v>4615866</v>
      </c>
      <c r="X33" s="154">
        <f t="shared" si="10"/>
        <v>0</v>
      </c>
    </row>
    <row r="34" spans="1:24" s="155" customFormat="1" ht="18" customHeight="1">
      <c r="A34" s="85">
        <v>4.3</v>
      </c>
      <c r="B34" s="86" t="s">
        <v>72</v>
      </c>
      <c r="C34" s="87">
        <f t="shared" si="2"/>
        <v>6449921</v>
      </c>
      <c r="D34" s="133">
        <v>6301441</v>
      </c>
      <c r="E34" s="83">
        <v>148480</v>
      </c>
      <c r="F34" s="83">
        <v>0</v>
      </c>
      <c r="G34" s="83">
        <v>0</v>
      </c>
      <c r="H34" s="87">
        <f t="shared" si="4"/>
        <v>6449921</v>
      </c>
      <c r="I34" s="87">
        <f t="shared" si="5"/>
        <v>158200</v>
      </c>
      <c r="J34" s="87">
        <f t="shared" si="6"/>
        <v>78765</v>
      </c>
      <c r="K34" s="83">
        <v>78765</v>
      </c>
      <c r="L34" s="83">
        <v>0</v>
      </c>
      <c r="M34" s="83">
        <v>0</v>
      </c>
      <c r="N34" s="83">
        <v>79435</v>
      </c>
      <c r="O34" s="83">
        <v>0</v>
      </c>
      <c r="P34" s="83">
        <v>0</v>
      </c>
      <c r="Q34" s="133">
        <v>6291721</v>
      </c>
      <c r="R34" s="83">
        <v>0</v>
      </c>
      <c r="S34" s="83">
        <v>0</v>
      </c>
      <c r="T34" s="87">
        <f t="shared" si="7"/>
        <v>6371156</v>
      </c>
      <c r="U34" s="88">
        <f t="shared" si="1"/>
        <v>0.49788242730720605</v>
      </c>
      <c r="V34" s="153">
        <f t="shared" si="8"/>
        <v>6449921</v>
      </c>
      <c r="W34" s="154">
        <f t="shared" si="9"/>
        <v>6449921</v>
      </c>
      <c r="X34" s="154">
        <f t="shared" si="10"/>
        <v>0</v>
      </c>
    </row>
    <row r="35" spans="1:24" s="155" customFormat="1" ht="18" customHeight="1">
      <c r="A35" s="85">
        <v>4.4</v>
      </c>
      <c r="B35" s="86" t="s">
        <v>73</v>
      </c>
      <c r="C35" s="87">
        <f t="shared" si="2"/>
        <v>459730</v>
      </c>
      <c r="D35" s="133">
        <v>411625</v>
      </c>
      <c r="E35" s="83">
        <v>48105</v>
      </c>
      <c r="F35" s="83">
        <v>500</v>
      </c>
      <c r="G35" s="83">
        <v>0</v>
      </c>
      <c r="H35" s="87">
        <f t="shared" si="4"/>
        <v>459230</v>
      </c>
      <c r="I35" s="87">
        <f t="shared" si="5"/>
        <v>459230</v>
      </c>
      <c r="J35" s="87">
        <f t="shared" si="6"/>
        <v>21135</v>
      </c>
      <c r="K35" s="83">
        <v>21135</v>
      </c>
      <c r="L35" s="83">
        <v>0</v>
      </c>
      <c r="M35" s="83">
        <v>0</v>
      </c>
      <c r="N35" s="83">
        <v>438095</v>
      </c>
      <c r="O35" s="83">
        <v>0</v>
      </c>
      <c r="P35" s="83">
        <v>0</v>
      </c>
      <c r="Q35" s="133">
        <v>0</v>
      </c>
      <c r="R35" s="83">
        <v>0</v>
      </c>
      <c r="S35" s="83">
        <v>0</v>
      </c>
      <c r="T35" s="87">
        <f t="shared" si="7"/>
        <v>438095</v>
      </c>
      <c r="U35" s="88">
        <f t="shared" si="1"/>
        <v>0.04602269015525989</v>
      </c>
      <c r="V35" s="153">
        <f t="shared" si="8"/>
        <v>459230</v>
      </c>
      <c r="W35" s="154">
        <f t="shared" si="9"/>
        <v>459230</v>
      </c>
      <c r="X35" s="154">
        <f t="shared" si="10"/>
        <v>0</v>
      </c>
    </row>
    <row r="36" spans="1:24" s="155" customFormat="1" ht="18" customHeight="1">
      <c r="A36" s="85">
        <v>4.5</v>
      </c>
      <c r="B36" s="86" t="s">
        <v>74</v>
      </c>
      <c r="C36" s="87">
        <f t="shared" si="2"/>
        <v>637759</v>
      </c>
      <c r="D36" s="133">
        <v>467261</v>
      </c>
      <c r="E36" s="83">
        <v>170498</v>
      </c>
      <c r="F36" s="83">
        <v>200</v>
      </c>
      <c r="G36" s="83">
        <v>0</v>
      </c>
      <c r="H36" s="87">
        <f t="shared" si="4"/>
        <v>637559</v>
      </c>
      <c r="I36" s="87">
        <f t="shared" si="5"/>
        <v>536809</v>
      </c>
      <c r="J36" s="87">
        <f t="shared" si="6"/>
        <v>170298</v>
      </c>
      <c r="K36" s="83">
        <v>170298</v>
      </c>
      <c r="L36" s="83">
        <v>0</v>
      </c>
      <c r="M36" s="83">
        <v>0</v>
      </c>
      <c r="N36" s="83">
        <v>366511</v>
      </c>
      <c r="O36" s="83">
        <v>0</v>
      </c>
      <c r="P36" s="83">
        <v>0</v>
      </c>
      <c r="Q36" s="133">
        <v>100000</v>
      </c>
      <c r="R36" s="83">
        <v>0</v>
      </c>
      <c r="S36" s="83">
        <v>750</v>
      </c>
      <c r="T36" s="87">
        <f t="shared" si="7"/>
        <v>467261</v>
      </c>
      <c r="U36" s="88">
        <f t="shared" si="1"/>
        <v>0.31724132792110415</v>
      </c>
      <c r="V36" s="153">
        <f t="shared" si="8"/>
        <v>637559</v>
      </c>
      <c r="W36" s="154">
        <f t="shared" si="9"/>
        <v>637559</v>
      </c>
      <c r="X36" s="154">
        <f t="shared" si="10"/>
        <v>0</v>
      </c>
    </row>
    <row r="37" spans="1:24" s="155" customFormat="1" ht="18" customHeight="1">
      <c r="A37" s="85">
        <v>4.6</v>
      </c>
      <c r="B37" s="86" t="s">
        <v>75</v>
      </c>
      <c r="C37" s="87">
        <f t="shared" si="2"/>
        <v>28260</v>
      </c>
      <c r="D37" s="133">
        <v>0</v>
      </c>
      <c r="E37" s="83">
        <v>28260</v>
      </c>
      <c r="F37" s="83">
        <v>200</v>
      </c>
      <c r="G37" s="83">
        <v>0</v>
      </c>
      <c r="H37" s="87">
        <f t="shared" si="4"/>
        <v>28060</v>
      </c>
      <c r="I37" s="87">
        <f t="shared" si="5"/>
        <v>28060</v>
      </c>
      <c r="J37" s="87">
        <f t="shared" si="6"/>
        <v>24555</v>
      </c>
      <c r="K37" s="83">
        <v>24555</v>
      </c>
      <c r="L37" s="83">
        <v>0</v>
      </c>
      <c r="M37" s="83">
        <v>0</v>
      </c>
      <c r="N37" s="83">
        <v>3505</v>
      </c>
      <c r="O37" s="83">
        <v>0</v>
      </c>
      <c r="P37" s="83">
        <v>0</v>
      </c>
      <c r="Q37" s="133">
        <v>0</v>
      </c>
      <c r="R37" s="83">
        <v>0</v>
      </c>
      <c r="S37" s="83">
        <v>0</v>
      </c>
      <c r="T37" s="87">
        <f t="shared" si="7"/>
        <v>3505</v>
      </c>
      <c r="U37" s="88">
        <f t="shared" si="1"/>
        <v>0.8750890947968638</v>
      </c>
      <c r="V37" s="153">
        <f t="shared" si="8"/>
        <v>28060</v>
      </c>
      <c r="W37" s="154">
        <f t="shared" si="9"/>
        <v>28060</v>
      </c>
      <c r="X37" s="154">
        <f t="shared" si="10"/>
        <v>0</v>
      </c>
    </row>
    <row r="38" spans="1:24" s="162" customFormat="1" ht="26.25" customHeight="1">
      <c r="A38" s="146">
        <v>5</v>
      </c>
      <c r="B38" s="144" t="s">
        <v>76</v>
      </c>
      <c r="C38" s="147">
        <f t="shared" si="2"/>
        <v>58938955</v>
      </c>
      <c r="D38" s="145">
        <f>SUM(D39:D42)</f>
        <v>15438536</v>
      </c>
      <c r="E38" s="145">
        <f>SUM(E39:E42)</f>
        <v>43500419</v>
      </c>
      <c r="F38" s="145">
        <f>SUM(F39:F42)</f>
        <v>2599</v>
      </c>
      <c r="G38" s="145">
        <f>SUM(G39:G42)</f>
        <v>0</v>
      </c>
      <c r="H38" s="145">
        <f>SUM(H39:H42)</f>
        <v>58936356</v>
      </c>
      <c r="I38" s="145">
        <f>SUM(I39:I42)</f>
        <v>48996874</v>
      </c>
      <c r="J38" s="145">
        <f>SUM(J39:J42)</f>
        <v>1285682</v>
      </c>
      <c r="K38" s="145">
        <v>1261140</v>
      </c>
      <c r="L38" s="145">
        <v>24542</v>
      </c>
      <c r="M38" s="145">
        <v>0</v>
      </c>
      <c r="N38" s="145">
        <v>47711192</v>
      </c>
      <c r="O38" s="145">
        <v>0</v>
      </c>
      <c r="P38" s="145">
        <f>SUM(P39:P42)</f>
        <v>0</v>
      </c>
      <c r="Q38" s="145">
        <f>SUM(Q39:Q42)</f>
        <v>9939482</v>
      </c>
      <c r="R38" s="145">
        <f>SUM(R39:R42)</f>
        <v>0</v>
      </c>
      <c r="S38" s="145"/>
      <c r="T38" s="145">
        <f>SUM(T39:T42)</f>
        <v>57650674</v>
      </c>
      <c r="U38" s="148">
        <f t="shared" si="1"/>
        <v>0.026240082173405593</v>
      </c>
      <c r="V38" s="159">
        <f t="shared" si="8"/>
        <v>58936356</v>
      </c>
      <c r="W38" s="160">
        <f t="shared" si="9"/>
        <v>58936356</v>
      </c>
      <c r="X38" s="160">
        <f t="shared" si="10"/>
        <v>0</v>
      </c>
    </row>
    <row r="39" spans="1:24" s="155" customFormat="1" ht="23.25" customHeight="1">
      <c r="A39" s="85">
        <v>5.1</v>
      </c>
      <c r="B39" s="86" t="s">
        <v>77</v>
      </c>
      <c r="C39" s="87">
        <f>D39+E39</f>
        <v>1446808</v>
      </c>
      <c r="D39" s="156">
        <f>1237202</f>
        <v>1237202</v>
      </c>
      <c r="E39" s="83">
        <v>209606</v>
      </c>
      <c r="F39" s="83">
        <v>2599</v>
      </c>
      <c r="G39" s="83">
        <v>0</v>
      </c>
      <c r="H39" s="87">
        <f>C39-G39-F39</f>
        <v>1444209</v>
      </c>
      <c r="I39" s="87">
        <f t="shared" si="5"/>
        <v>593831</v>
      </c>
      <c r="J39" s="87">
        <f t="shared" si="6"/>
        <v>286723</v>
      </c>
      <c r="K39" s="83">
        <v>269451</v>
      </c>
      <c r="L39" s="83">
        <v>17272</v>
      </c>
      <c r="M39" s="83">
        <v>0</v>
      </c>
      <c r="N39" s="83">
        <v>307108</v>
      </c>
      <c r="O39" s="83">
        <v>0</v>
      </c>
      <c r="P39" s="83">
        <v>0</v>
      </c>
      <c r="Q39" s="133">
        <f>850378</f>
        <v>850378</v>
      </c>
      <c r="R39" s="83">
        <v>0</v>
      </c>
      <c r="S39" s="83">
        <v>0</v>
      </c>
      <c r="T39" s="87">
        <f t="shared" si="7"/>
        <v>1157486</v>
      </c>
      <c r="U39" s="88">
        <f t="shared" si="1"/>
        <v>0.48283602573796247</v>
      </c>
      <c r="V39" s="153">
        <f>IF(H39=C39-F39-G39,H39,"KT lai")</f>
        <v>1444209</v>
      </c>
      <c r="W39" s="154">
        <f t="shared" si="9"/>
        <v>1444209</v>
      </c>
      <c r="X39" s="154">
        <f t="shared" si="10"/>
        <v>0</v>
      </c>
    </row>
    <row r="40" spans="1:24" s="155" customFormat="1" ht="23.25" customHeight="1">
      <c r="A40" s="85">
        <v>5.2</v>
      </c>
      <c r="B40" s="86" t="s">
        <v>78</v>
      </c>
      <c r="C40" s="87">
        <f>D40+E40</f>
        <v>101097</v>
      </c>
      <c r="D40" s="156">
        <v>11412</v>
      </c>
      <c r="E40" s="83">
        <v>89685</v>
      </c>
      <c r="F40" s="83">
        <v>0</v>
      </c>
      <c r="G40" s="83">
        <v>0</v>
      </c>
      <c r="H40" s="87">
        <f>C40-G40-F40</f>
        <v>101097</v>
      </c>
      <c r="I40" s="87">
        <f>K40+L40+M40+N40+O40+P40</f>
        <v>101097</v>
      </c>
      <c r="J40" s="87">
        <f>K40+L40+M40</f>
        <v>36430</v>
      </c>
      <c r="K40" s="83">
        <v>36430</v>
      </c>
      <c r="L40" s="83">
        <v>0</v>
      </c>
      <c r="M40" s="83">
        <v>0</v>
      </c>
      <c r="N40" s="83">
        <v>64667</v>
      </c>
      <c r="O40" s="83">
        <v>0</v>
      </c>
      <c r="P40" s="83">
        <v>0</v>
      </c>
      <c r="Q40" s="133"/>
      <c r="R40" s="83">
        <v>0</v>
      </c>
      <c r="S40" s="83">
        <v>0</v>
      </c>
      <c r="T40" s="87">
        <f>SUM(N40:S40)</f>
        <v>64667</v>
      </c>
      <c r="U40" s="88">
        <f>IF(I40&lt;&gt;0,J40/I40,"")</f>
        <v>0.36034699348150784</v>
      </c>
      <c r="V40" s="153">
        <f>IF(H40=C40-F40-G40,H40,"KT lai")</f>
        <v>101097</v>
      </c>
      <c r="W40" s="154">
        <f>I40+Q40+R40+S40</f>
        <v>101097</v>
      </c>
      <c r="X40" s="154">
        <f>V40-W40</f>
        <v>0</v>
      </c>
    </row>
    <row r="41" spans="1:24" s="155" customFormat="1" ht="23.25" customHeight="1">
      <c r="A41" s="85">
        <v>5.3</v>
      </c>
      <c r="B41" s="86" t="s">
        <v>79</v>
      </c>
      <c r="C41" s="87">
        <f>D41+E41</f>
        <v>3853658</v>
      </c>
      <c r="D41" s="156">
        <v>494727</v>
      </c>
      <c r="E41" s="83">
        <v>3358931</v>
      </c>
      <c r="F41" s="83">
        <v>0</v>
      </c>
      <c r="G41" s="83">
        <v>0</v>
      </c>
      <c r="H41" s="87">
        <f>C41-G41-F41</f>
        <v>3853658</v>
      </c>
      <c r="I41" s="87">
        <f>K41+L41+M41+N41+O41+P41</f>
        <v>3645502</v>
      </c>
      <c r="J41" s="87">
        <f>K41+L41+M41</f>
        <v>129938</v>
      </c>
      <c r="K41" s="83">
        <v>122868</v>
      </c>
      <c r="L41" s="83">
        <v>7070</v>
      </c>
      <c r="M41" s="83">
        <v>0</v>
      </c>
      <c r="N41" s="83">
        <v>3515564</v>
      </c>
      <c r="O41" s="83">
        <v>0</v>
      </c>
      <c r="P41" s="83">
        <v>0</v>
      </c>
      <c r="Q41" s="133">
        <v>208156</v>
      </c>
      <c r="R41" s="83"/>
      <c r="S41" s="83">
        <v>0</v>
      </c>
      <c r="T41" s="87">
        <f>SUM(N41:S41)</f>
        <v>3723720</v>
      </c>
      <c r="U41" s="88">
        <f>IF(I41&lt;&gt;0,J41/I41,"")</f>
        <v>0.03564337641290555</v>
      </c>
      <c r="V41" s="153"/>
      <c r="W41" s="154"/>
      <c r="X41" s="154"/>
    </row>
    <row r="42" spans="1:24" s="155" customFormat="1" ht="23.25" customHeight="1">
      <c r="A42" s="85">
        <v>5.4</v>
      </c>
      <c r="B42" s="86" t="s">
        <v>80</v>
      </c>
      <c r="C42" s="87">
        <f>D42+E42</f>
        <v>53537392</v>
      </c>
      <c r="D42" s="133">
        <v>13695195</v>
      </c>
      <c r="E42" s="83">
        <v>39842197</v>
      </c>
      <c r="F42" s="83">
        <v>0</v>
      </c>
      <c r="G42" s="83">
        <v>0</v>
      </c>
      <c r="H42" s="87">
        <f>C42-G42-F42</f>
        <v>53537392</v>
      </c>
      <c r="I42" s="87">
        <f>K42+L42+M42+N42+O42+P42</f>
        <v>44656444</v>
      </c>
      <c r="J42" s="87">
        <f>K42+L42+M42</f>
        <v>832591</v>
      </c>
      <c r="K42" s="83">
        <v>832391</v>
      </c>
      <c r="L42" s="83">
        <v>200</v>
      </c>
      <c r="M42" s="83">
        <v>0</v>
      </c>
      <c r="N42" s="83">
        <v>43823853</v>
      </c>
      <c r="O42" s="83">
        <v>0</v>
      </c>
      <c r="P42" s="83">
        <v>0</v>
      </c>
      <c r="Q42" s="133">
        <v>8880948</v>
      </c>
      <c r="R42" s="83">
        <v>0</v>
      </c>
      <c r="S42" s="83">
        <v>0</v>
      </c>
      <c r="T42" s="87">
        <f t="shared" si="7"/>
        <v>52704801</v>
      </c>
      <c r="U42" s="88">
        <f t="shared" si="1"/>
        <v>0.018644364069830548</v>
      </c>
      <c r="V42" s="153">
        <f>IF(H42=C42-F42-G42,H42,"KT lai")</f>
        <v>53537392</v>
      </c>
      <c r="W42" s="154">
        <f t="shared" si="9"/>
        <v>53537392</v>
      </c>
      <c r="X42" s="154">
        <f t="shared" si="10"/>
        <v>0</v>
      </c>
    </row>
    <row r="43" spans="1:24" s="162" customFormat="1" ht="27" customHeight="1">
      <c r="A43" s="146">
        <v>6</v>
      </c>
      <c r="B43" s="144" t="s">
        <v>81</v>
      </c>
      <c r="C43" s="147">
        <f t="shared" si="2"/>
        <v>81128225</v>
      </c>
      <c r="D43" s="145">
        <f>SUM(D44:D48)</f>
        <v>65982852</v>
      </c>
      <c r="E43" s="145">
        <f>SUM(E44:E48)</f>
        <v>15145373</v>
      </c>
      <c r="F43" s="145">
        <f>SUM(F44:F48)</f>
        <v>59800</v>
      </c>
      <c r="G43" s="145">
        <f>SUM(G44:G48)</f>
        <v>0</v>
      </c>
      <c r="H43" s="145">
        <f>SUM(H44:H48)</f>
        <v>81068425</v>
      </c>
      <c r="I43" s="145">
        <f>SUM(I44:I48)</f>
        <v>40477240</v>
      </c>
      <c r="J43" s="145">
        <f>SUM(J44:J48)</f>
        <v>13893909</v>
      </c>
      <c r="K43" s="145">
        <v>5983643</v>
      </c>
      <c r="L43" s="145">
        <v>7818352</v>
      </c>
      <c r="M43" s="145">
        <v>91914</v>
      </c>
      <c r="N43" s="145">
        <v>26583331</v>
      </c>
      <c r="O43" s="145">
        <v>0</v>
      </c>
      <c r="P43" s="145">
        <f>SUM(P44:P48)</f>
        <v>0</v>
      </c>
      <c r="Q43" s="145">
        <f>SUM(Q44:Q48)</f>
        <v>40591185</v>
      </c>
      <c r="R43" s="145">
        <f>SUM(R44:R48)</f>
        <v>0</v>
      </c>
      <c r="S43" s="145">
        <f>SUM(S44:S48)</f>
        <v>0</v>
      </c>
      <c r="T43" s="145">
        <f>SUM(T44:T48)</f>
        <v>67174516</v>
      </c>
      <c r="U43" s="148">
        <f t="shared" si="1"/>
        <v>0.34325238084414844</v>
      </c>
      <c r="V43" s="159">
        <f t="shared" si="8"/>
        <v>81068425</v>
      </c>
      <c r="W43" s="160">
        <f t="shared" si="9"/>
        <v>81068425</v>
      </c>
      <c r="X43" s="160">
        <f t="shared" si="10"/>
        <v>0</v>
      </c>
    </row>
    <row r="44" spans="1:24" s="155" customFormat="1" ht="19.5" customHeight="1">
      <c r="A44" s="85">
        <v>6.1</v>
      </c>
      <c r="B44" s="86" t="s">
        <v>82</v>
      </c>
      <c r="C44" s="87">
        <f t="shared" si="2"/>
        <v>47286159</v>
      </c>
      <c r="D44" s="150">
        <v>44089640</v>
      </c>
      <c r="E44" s="83">
        <v>3196519</v>
      </c>
      <c r="F44" s="83">
        <v>0</v>
      </c>
      <c r="G44" s="83">
        <v>0</v>
      </c>
      <c r="H44" s="87">
        <f t="shared" si="4"/>
        <v>47286159</v>
      </c>
      <c r="I44" s="87">
        <f t="shared" si="5"/>
        <v>15455553</v>
      </c>
      <c r="J44" s="87">
        <f t="shared" si="6"/>
        <v>1909160</v>
      </c>
      <c r="K44" s="83">
        <v>1650531</v>
      </c>
      <c r="L44" s="83">
        <v>219963</v>
      </c>
      <c r="M44" s="83">
        <v>38666</v>
      </c>
      <c r="N44" s="83">
        <v>13546393</v>
      </c>
      <c r="O44" s="83">
        <v>0</v>
      </c>
      <c r="P44" s="83">
        <v>0</v>
      </c>
      <c r="Q44" s="151">
        <v>31830606</v>
      </c>
      <c r="R44" s="83">
        <v>0</v>
      </c>
      <c r="S44" s="83">
        <v>0</v>
      </c>
      <c r="T44" s="87">
        <f t="shared" si="7"/>
        <v>45376999</v>
      </c>
      <c r="U44" s="88">
        <f t="shared" si="1"/>
        <v>0.12352582919550016</v>
      </c>
      <c r="V44" s="153">
        <f t="shared" si="8"/>
        <v>47286159</v>
      </c>
      <c r="W44" s="154">
        <f t="shared" si="9"/>
        <v>47286159</v>
      </c>
      <c r="X44" s="154">
        <f t="shared" si="10"/>
        <v>0</v>
      </c>
    </row>
    <row r="45" spans="1:24" s="155" customFormat="1" ht="19.5" customHeight="1">
      <c r="A45" s="85">
        <v>6.2</v>
      </c>
      <c r="B45" s="86" t="s">
        <v>83</v>
      </c>
      <c r="C45" s="87">
        <f t="shared" si="2"/>
        <v>5966152</v>
      </c>
      <c r="D45" s="150">
        <v>5398545</v>
      </c>
      <c r="E45" s="83">
        <v>567607</v>
      </c>
      <c r="F45" s="83">
        <v>0</v>
      </c>
      <c r="G45" s="83">
        <v>0</v>
      </c>
      <c r="H45" s="87">
        <f t="shared" si="4"/>
        <v>5966152</v>
      </c>
      <c r="I45" s="87">
        <f t="shared" si="5"/>
        <v>1430821</v>
      </c>
      <c r="J45" s="87">
        <f t="shared" si="6"/>
        <v>499951</v>
      </c>
      <c r="K45" s="83">
        <v>481120</v>
      </c>
      <c r="L45" s="83">
        <v>18831</v>
      </c>
      <c r="M45" s="83">
        <v>0</v>
      </c>
      <c r="N45" s="83">
        <v>930870</v>
      </c>
      <c r="O45" s="83">
        <v>0</v>
      </c>
      <c r="P45" s="83">
        <v>0</v>
      </c>
      <c r="Q45" s="151">
        <v>4535331</v>
      </c>
      <c r="R45" s="83">
        <v>0</v>
      </c>
      <c r="S45" s="83">
        <v>0</v>
      </c>
      <c r="T45" s="87">
        <f t="shared" si="7"/>
        <v>5466201</v>
      </c>
      <c r="U45" s="88">
        <f t="shared" si="1"/>
        <v>0.3494154754508076</v>
      </c>
      <c r="V45" s="153">
        <f t="shared" si="8"/>
        <v>5966152</v>
      </c>
      <c r="W45" s="154">
        <f t="shared" si="9"/>
        <v>5966152</v>
      </c>
      <c r="X45" s="154">
        <f t="shared" si="10"/>
        <v>0</v>
      </c>
    </row>
    <row r="46" spans="1:24" s="155" customFormat="1" ht="19.5" customHeight="1">
      <c r="A46" s="85">
        <v>6.3</v>
      </c>
      <c r="B46" s="86" t="s">
        <v>84</v>
      </c>
      <c r="C46" s="87">
        <f t="shared" si="2"/>
        <v>21243550</v>
      </c>
      <c r="D46" s="150">
        <v>10009088</v>
      </c>
      <c r="E46" s="83">
        <v>11234462</v>
      </c>
      <c r="F46" s="83">
        <v>0</v>
      </c>
      <c r="G46" s="83">
        <v>0</v>
      </c>
      <c r="H46" s="87">
        <f t="shared" si="4"/>
        <v>21243550</v>
      </c>
      <c r="I46" s="87">
        <f t="shared" si="5"/>
        <v>19256578</v>
      </c>
      <c r="J46" s="87">
        <f t="shared" si="6"/>
        <v>11281141</v>
      </c>
      <c r="K46" s="83">
        <v>3695112</v>
      </c>
      <c r="L46" s="83">
        <v>7551100</v>
      </c>
      <c r="M46" s="83">
        <v>34929</v>
      </c>
      <c r="N46" s="83">
        <v>7975437</v>
      </c>
      <c r="O46" s="83">
        <v>0</v>
      </c>
      <c r="P46" s="83">
        <v>0</v>
      </c>
      <c r="Q46" s="151">
        <v>1986972</v>
      </c>
      <c r="R46" s="83">
        <v>0</v>
      </c>
      <c r="S46" s="83">
        <v>0</v>
      </c>
      <c r="T46" s="87">
        <f t="shared" si="7"/>
        <v>9962409</v>
      </c>
      <c r="U46" s="88">
        <f t="shared" si="1"/>
        <v>0.5858331111581715</v>
      </c>
      <c r="V46" s="153">
        <f t="shared" si="8"/>
        <v>21243550</v>
      </c>
      <c r="W46" s="154">
        <f t="shared" si="9"/>
        <v>21243550</v>
      </c>
      <c r="X46" s="154">
        <f t="shared" si="10"/>
        <v>0</v>
      </c>
    </row>
    <row r="47" spans="1:24" s="155" customFormat="1" ht="19.5" customHeight="1">
      <c r="A47" s="85">
        <v>6.4</v>
      </c>
      <c r="B47" s="86" t="s">
        <v>85</v>
      </c>
      <c r="C47" s="87">
        <f t="shared" si="2"/>
        <v>6629454</v>
      </c>
      <c r="D47" s="150">
        <v>6485579</v>
      </c>
      <c r="E47" s="83">
        <v>143875</v>
      </c>
      <c r="F47" s="83">
        <v>59200</v>
      </c>
      <c r="G47" s="83">
        <v>0</v>
      </c>
      <c r="H47" s="87">
        <f t="shared" si="4"/>
        <v>6570254</v>
      </c>
      <c r="I47" s="87">
        <f t="shared" si="5"/>
        <v>4331978</v>
      </c>
      <c r="J47" s="87">
        <f t="shared" si="6"/>
        <v>201347</v>
      </c>
      <c r="K47" s="83">
        <v>154570</v>
      </c>
      <c r="L47" s="83">
        <v>28458</v>
      </c>
      <c r="M47" s="83">
        <v>18319</v>
      </c>
      <c r="N47" s="83">
        <v>4130631</v>
      </c>
      <c r="O47" s="83">
        <v>0</v>
      </c>
      <c r="P47" s="83">
        <v>0</v>
      </c>
      <c r="Q47" s="151">
        <v>2238276</v>
      </c>
      <c r="R47" s="83">
        <v>0</v>
      </c>
      <c r="S47" s="83">
        <v>0</v>
      </c>
      <c r="T47" s="87">
        <f t="shared" si="7"/>
        <v>6368907</v>
      </c>
      <c r="U47" s="88">
        <f t="shared" si="1"/>
        <v>0.046479229580574974</v>
      </c>
      <c r="V47" s="153">
        <f t="shared" si="8"/>
        <v>6570254</v>
      </c>
      <c r="W47" s="154">
        <f t="shared" si="9"/>
        <v>6570254</v>
      </c>
      <c r="X47" s="154">
        <f t="shared" si="10"/>
        <v>0</v>
      </c>
    </row>
    <row r="48" spans="1:24" s="155" customFormat="1" ht="19.5" customHeight="1">
      <c r="A48" s="85">
        <v>6.5</v>
      </c>
      <c r="B48" s="86" t="s">
        <v>86</v>
      </c>
      <c r="C48" s="87">
        <f t="shared" si="2"/>
        <v>2910</v>
      </c>
      <c r="D48" s="152">
        <v>0</v>
      </c>
      <c r="E48" s="83">
        <v>2910</v>
      </c>
      <c r="F48" s="83">
        <v>600</v>
      </c>
      <c r="G48" s="83">
        <v>0</v>
      </c>
      <c r="H48" s="87">
        <f t="shared" si="4"/>
        <v>2310</v>
      </c>
      <c r="I48" s="87">
        <f t="shared" si="5"/>
        <v>2310</v>
      </c>
      <c r="J48" s="87">
        <f t="shared" si="6"/>
        <v>2310</v>
      </c>
      <c r="K48" s="83">
        <v>2310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151">
        <f>H48-I48</f>
        <v>0</v>
      </c>
      <c r="R48" s="83">
        <v>0</v>
      </c>
      <c r="S48" s="83">
        <v>0</v>
      </c>
      <c r="T48" s="87">
        <f t="shared" si="7"/>
        <v>0</v>
      </c>
      <c r="U48" s="88">
        <f t="shared" si="1"/>
        <v>1</v>
      </c>
      <c r="V48" s="153">
        <f t="shared" si="8"/>
        <v>2310</v>
      </c>
      <c r="W48" s="154">
        <f t="shared" si="9"/>
        <v>2310</v>
      </c>
      <c r="X48" s="154">
        <f t="shared" si="10"/>
        <v>0</v>
      </c>
    </row>
    <row r="49" spans="1:21" ht="21" customHeight="1">
      <c r="A49" s="28"/>
      <c r="B49" s="29"/>
      <c r="C49" s="29"/>
      <c r="D49" s="29"/>
      <c r="E49" s="29"/>
      <c r="F49" s="30"/>
      <c r="G49" s="30"/>
      <c r="H49" s="30"/>
      <c r="I49" s="31"/>
      <c r="J49" s="31"/>
      <c r="K49" s="31"/>
      <c r="L49" s="31"/>
      <c r="M49" s="31"/>
      <c r="N49" s="33" t="s">
        <v>97</v>
      </c>
      <c r="O49" s="34"/>
      <c r="P49" s="34"/>
      <c r="Q49" s="34"/>
      <c r="R49" s="34"/>
      <c r="S49" s="34"/>
      <c r="T49" s="34"/>
      <c r="U49" s="34"/>
    </row>
    <row r="50" spans="1:21" ht="21" customHeight="1">
      <c r="A50" s="35" t="s">
        <v>87</v>
      </c>
      <c r="B50" s="36"/>
      <c r="C50" s="36"/>
      <c r="D50" s="36"/>
      <c r="E50" s="36"/>
      <c r="F50" s="37"/>
      <c r="G50" s="37"/>
      <c r="H50" s="37"/>
      <c r="I50" s="38"/>
      <c r="J50" s="38"/>
      <c r="K50" s="38"/>
      <c r="L50" s="38"/>
      <c r="M50" s="38"/>
      <c r="N50" s="40" t="str">
        <f>'[1]TT'!C5</f>
        <v>CỤC TRƯỞNG</v>
      </c>
      <c r="O50" s="40"/>
      <c r="P50" s="40"/>
      <c r="Q50" s="40"/>
      <c r="R50" s="40"/>
      <c r="S50" s="40"/>
      <c r="T50" s="40"/>
      <c r="U50" s="40"/>
    </row>
    <row r="51" spans="1:21" ht="66.75" customHeight="1">
      <c r="A51" s="41"/>
      <c r="B51" s="41"/>
      <c r="C51" s="41"/>
      <c r="D51" s="41"/>
      <c r="E51" s="41"/>
      <c r="F51" s="42"/>
      <c r="G51" s="42"/>
      <c r="H51" s="42"/>
      <c r="I51" s="38"/>
      <c r="J51" s="38"/>
      <c r="K51" s="38"/>
      <c r="L51" s="38"/>
      <c r="M51" s="38"/>
      <c r="N51" s="38"/>
      <c r="O51" s="38"/>
      <c r="P51" s="42"/>
      <c r="Q51" s="84"/>
      <c r="R51" s="42"/>
      <c r="S51" s="38"/>
      <c r="T51" s="44"/>
      <c r="U51" s="44"/>
    </row>
    <row r="52" spans="1:21" ht="21" customHeight="1">
      <c r="A52" s="45" t="str">
        <f>'[1]TT'!C6</f>
        <v>TRẦN ĐỨC TOẢN</v>
      </c>
      <c r="B52" s="45"/>
      <c r="C52" s="45"/>
      <c r="D52" s="45"/>
      <c r="E52" s="45"/>
      <c r="F52" s="46" t="s">
        <v>45</v>
      </c>
      <c r="G52" s="46"/>
      <c r="H52" s="46"/>
      <c r="I52" s="46"/>
      <c r="J52" s="46"/>
      <c r="K52" s="46"/>
      <c r="L52" s="46"/>
      <c r="M52" s="46"/>
      <c r="N52" s="48" t="s">
        <v>88</v>
      </c>
      <c r="O52" s="48"/>
      <c r="P52" s="48"/>
      <c r="Q52" s="48"/>
      <c r="R52" s="48"/>
      <c r="S52" s="48"/>
      <c r="T52" s="48"/>
      <c r="U52" s="48"/>
    </row>
    <row r="53" ht="21" customHeight="1"/>
    <row r="54" ht="21" customHeight="1"/>
  </sheetData>
  <sheetProtection formatCells="0" formatColumns="0" formatRows="0" insertRows="0" deleteRows="0"/>
  <mergeCells count="34">
    <mergeCell ref="A52:E52"/>
    <mergeCell ref="N52:U52"/>
    <mergeCell ref="A8:B8"/>
    <mergeCell ref="A9:B9"/>
    <mergeCell ref="A49:E49"/>
    <mergeCell ref="N49:U49"/>
    <mergeCell ref="A50:E50"/>
    <mergeCell ref="N50:U50"/>
    <mergeCell ref="S4:S7"/>
    <mergeCell ref="J5:J7"/>
    <mergeCell ref="K5:M6"/>
    <mergeCell ref="N5:N7"/>
    <mergeCell ref="O5:O7"/>
    <mergeCell ref="P5:P7"/>
    <mergeCell ref="H3:H7"/>
    <mergeCell ref="I3:S3"/>
    <mergeCell ref="T3:T7"/>
    <mergeCell ref="U3:U7"/>
    <mergeCell ref="D4:D7"/>
    <mergeCell ref="E4:E7"/>
    <mergeCell ref="I4:I7"/>
    <mergeCell ref="J4:P4"/>
    <mergeCell ref="Q4:Q7"/>
    <mergeCell ref="R4:R7"/>
    <mergeCell ref="A1:D1"/>
    <mergeCell ref="E1:O1"/>
    <mergeCell ref="P1:U1"/>
    <mergeCell ref="P2:U2"/>
    <mergeCell ref="A3:A7"/>
    <mergeCell ref="B3:B7"/>
    <mergeCell ref="C3:C7"/>
    <mergeCell ref="D3:E3"/>
    <mergeCell ref="F3:F7"/>
    <mergeCell ref="G3:G7"/>
  </mergeCells>
  <printOptions/>
  <pageMargins left="0.38" right="0.3" top="0.39" bottom="0.42" header="0.31496062992126" footer="0.31496062992126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2021-02-01T01:21:23Z</dcterms:created>
  <dcterms:modified xsi:type="dcterms:W3CDTF">2021-02-01T02:50:13Z</dcterms:modified>
  <cp:category/>
  <cp:version/>
  <cp:contentType/>
  <cp:contentStatus/>
</cp:coreProperties>
</file>